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0" windowWidth="15120" windowHeight="11740" activeTab="0"/>
  </bookViews>
  <sheets>
    <sheet name="Intrinsic value calculator" sheetId="1" r:id="rId1"/>
    <sheet name="Buyback &amp; Dividend computation" sheetId="2" r:id="rId2"/>
    <sheet name="Expected growth rate" sheetId="3" r:id="rId3"/>
    <sheet name="Implied ERP (Monthly from 9-08)" sheetId="4" r:id="rId4"/>
    <sheet name="Implied ERP- Annual since 1960" sheetId="5" r:id="rId5"/>
    <sheet name="Historical ERP" sheetId="6" r:id="rId6"/>
    <sheet name="T.Bond vs Nominal growth" sheetId="7" r:id="rId7"/>
    <sheet name="S&amp;P 500 Monthly Data (Cap IQ)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'Intrinsic value calculator'!#REF!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'Intrinsic value calculator'!#REF!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1606.28</definedName>
    <definedName name="solver_ver" localSheetId="0" hidden="1">2</definedName>
  </definedNames>
  <calcPr fullCalcOnLoad="1" iterate="1" iterateCount="100" iterateDelta="0.000999999999999945"/>
</workbook>
</file>

<file path=xl/comments1.xml><?xml version="1.0" encoding="utf-8"?>
<comments xmlns="http://schemas.openxmlformats.org/spreadsheetml/2006/main">
  <authors>
    <author>Aswath Damodaran</author>
  </authors>
  <commentList>
    <comment ref="B3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current level of the index.</t>
        </r>
      </text>
    </comment>
    <comment ref="B8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This should be a forecast of earnings growth from analysts following stocks in the index.</t>
        </r>
      </text>
    </comment>
    <comment ref="B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Thks is the current rate on a long term government bond.</t>
        </r>
      </text>
    </comment>
    <comment ref="B11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This is the expected risk premium for investing in stock.</t>
        </r>
      </text>
    </comment>
    <comment ref="B12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As a default, I will set this equal to the treasury bond rate. You can reset it to a lower number.</t>
        </r>
      </text>
    </comment>
  </commentList>
</comments>
</file>

<file path=xl/comments3.xml><?xml version="1.0" encoding="utf-8"?>
<comments xmlns="http://schemas.openxmlformats.org/spreadsheetml/2006/main">
  <authors>
    <author>Aswath Damodaran</author>
  </authors>
  <commentList>
    <comment ref="A1" authorId="0">
      <text>
        <r>
          <rPr>
            <b/>
            <sz val="9"/>
            <rFont val="Geneva"/>
            <family val="0"/>
          </rPr>
          <t>Aswath Damodaran:
These are estimated by aggregating the analyst forecasts of earnings for the individual companies in the S&amp;P 500. Historically, these numbers have been upward biased at the index level.</t>
        </r>
      </text>
    </comment>
    <comment ref="F1" authorId="0">
      <text>
        <r>
          <rPr>
            <b/>
            <sz val="9"/>
            <rFont val="Geneva"/>
            <family val="0"/>
          </rPr>
          <t>Aswath Damodaran:
These are estimates of overall earnings for the S&amp;P 500 companies made at an aggregate level. They tend to be less biased but there are fewer analysts who estimate these numbers.</t>
        </r>
      </text>
    </comment>
  </commentList>
</comments>
</file>

<file path=xl/sharedStrings.xml><?xml version="1.0" encoding="utf-8"?>
<sst xmlns="http://schemas.openxmlformats.org/spreadsheetml/2006/main" count="217" uniqueCount="170">
  <si>
    <t>Expected Dividends =</t>
  </si>
  <si>
    <t>Expected Terminal Value =</t>
  </si>
  <si>
    <t>Present Value =</t>
  </si>
  <si>
    <t>Intrinsic Value of Index =</t>
  </si>
  <si>
    <t>Dividend Yield</t>
  </si>
  <si>
    <t>Buybacks/Index</t>
  </si>
  <si>
    <t>Year</t>
  </si>
  <si>
    <t>Year</t>
  </si>
  <si>
    <t>Dividend yield</t>
  </si>
  <si>
    <t>Buyback yield</t>
  </si>
  <si>
    <t>Dividends</t>
  </si>
  <si>
    <t>Buybacks</t>
  </si>
  <si>
    <t>Cash to equity</t>
  </si>
  <si>
    <t>Market value of index</t>
  </si>
  <si>
    <t>Ratio</t>
  </si>
  <si>
    <t>Dividends</t>
  </si>
  <si>
    <t>Dividends</t>
  </si>
  <si>
    <t>Buybacks</t>
  </si>
  <si>
    <t>Quarter</t>
  </si>
  <si>
    <t>4 quarters ago</t>
  </si>
  <si>
    <t>3 quarters ago</t>
  </si>
  <si>
    <t>2 quarters ago</t>
  </si>
  <si>
    <t>Last quarter</t>
  </si>
  <si>
    <t>Sum</t>
  </si>
  <si>
    <t>Average: Last 10 years =</t>
  </si>
  <si>
    <t>Average: Last 5 years</t>
  </si>
  <si>
    <t>Compounded average</t>
  </si>
  <si>
    <t>Index units adjuster =</t>
  </si>
  <si>
    <t>Index level</t>
  </si>
  <si>
    <t>Unit adjuster</t>
  </si>
  <si>
    <t>Market Cap</t>
  </si>
  <si>
    <t>Index at the start of the current quarter =</t>
  </si>
  <si>
    <t>Base for normalized Cashflow; Updated at the start of every quarter</t>
  </si>
  <si>
    <t>C</t>
  </si>
  <si>
    <t>Enter current level of index</t>
  </si>
  <si>
    <t>Source</t>
  </si>
  <si>
    <t>Bottom up Estimates</t>
  </si>
  <si>
    <t>Earnings on Index</t>
  </si>
  <si>
    <t>Top down Estimates</t>
  </si>
  <si>
    <t>Updated at the start of every quarter</t>
  </si>
  <si>
    <t>Last updated</t>
  </si>
  <si>
    <t>Earnings</t>
  </si>
  <si>
    <t>Payout</t>
  </si>
  <si>
    <t>Book Value of Equity at start of year</t>
  </si>
  <si>
    <t>Sales per share</t>
  </si>
  <si>
    <t>Return on Equity</t>
  </si>
  <si>
    <t>Net Profit Margin</t>
  </si>
  <si>
    <t>Inputs</t>
  </si>
  <si>
    <t>Growth Choices</t>
  </si>
  <si>
    <t>Historical earnings growth rate (last decade) =</t>
  </si>
  <si>
    <t>Bottom up forecasted growth rate (next 5 years) =</t>
  </si>
  <si>
    <t>Top down forecasted growth rate (next 5 years) =</t>
  </si>
  <si>
    <t>Fundamental growth rate (based on current ROE) =</t>
  </si>
  <si>
    <t>Fundamental growth rate (based on average ROE) =</t>
  </si>
  <si>
    <t>H</t>
  </si>
  <si>
    <t>BU</t>
  </si>
  <si>
    <t>TD</t>
  </si>
  <si>
    <t>FC</t>
  </si>
  <si>
    <t>FA</t>
  </si>
  <si>
    <t>What expected growth rate do you want to use for the next 5 years?</t>
  </si>
  <si>
    <t>Expected growth rate in earnings for the next 5 years =</t>
  </si>
  <si>
    <t>Enter current long term risk free rate  =</t>
  </si>
  <si>
    <t>Historical Equity risk premium (US) =</t>
  </si>
  <si>
    <t>Historical Equity risk premium (Global) =</t>
  </si>
  <si>
    <t>Average implied ERP (last decade) =</t>
  </si>
  <si>
    <t>Average implied ERP (1960-Current) =</t>
  </si>
  <si>
    <t>Earnings Yield</t>
  </si>
  <si>
    <t>T.Bond Rate</t>
  </si>
  <si>
    <t>Implied ERP</t>
  </si>
  <si>
    <t>Start of month</t>
  </si>
  <si>
    <t>S&amp;P 500</t>
  </si>
  <si>
    <t>T.Bond Rate</t>
  </si>
  <si>
    <t>CF (Trailing 12 month)</t>
  </si>
  <si>
    <t>Expected growth rate</t>
  </si>
  <si>
    <t>ERP (T12m)</t>
  </si>
  <si>
    <t>ERP (Smoothed)</t>
  </si>
  <si>
    <t>HUS</t>
  </si>
  <si>
    <t>HG</t>
  </si>
  <si>
    <t>ERP10</t>
  </si>
  <si>
    <t>ERP used to compute fair value of index (you can override this number) =</t>
  </si>
  <si>
    <t>If you want to compute an intrinsic value for index, what ERP would you like to use?</t>
  </si>
  <si>
    <t>Intrinsic Value Estimate (based on your choice of ERP)</t>
  </si>
  <si>
    <t>ERP Choices (for index intrinsic value)</t>
  </si>
  <si>
    <t>Inflation rate</t>
  </si>
  <si>
    <t>Inflation adjusted Earnings</t>
  </si>
  <si>
    <t>Intrinsic Trailing PE =</t>
  </si>
  <si>
    <t>Factset</t>
  </si>
  <si>
    <t>Thomson Reuters</t>
  </si>
  <si>
    <t>Intrinsic CAPE (based on inflation-adjusted ten year average earnings) =</t>
  </si>
  <si>
    <t>Sources for bottom up estimates</t>
  </si>
  <si>
    <t>Sources for top down estimates</t>
  </si>
  <si>
    <t>S&amp;P</t>
  </si>
  <si>
    <t>Year end</t>
  </si>
  <si>
    <t>Ten-year T.Bond rate</t>
  </si>
  <si>
    <t>Real GDP growth</t>
  </si>
  <si>
    <t>Fundamental riskfree rate</t>
  </si>
  <si>
    <t>T. Bond - Fundamental (current)</t>
  </si>
  <si>
    <t>Next 5 years</t>
  </si>
  <si>
    <t>1954-2012</t>
  </si>
  <si>
    <t>1954-1980</t>
  </si>
  <si>
    <t>1981-2012</t>
  </si>
  <si>
    <t>S&amp;P 500</t>
  </si>
  <si>
    <t>Annual Returns on Investments in</t>
  </si>
  <si>
    <t>Compounded Value of $ 100</t>
  </si>
  <si>
    <t>3-month T.Bill</t>
  </si>
  <si>
    <t>10-year T. Bond</t>
  </si>
  <si>
    <t>Stocks</t>
  </si>
  <si>
    <t>T.Bills</t>
  </si>
  <si>
    <t>T.Bonds</t>
  </si>
  <si>
    <t>Stocks - Bills</t>
  </si>
  <si>
    <t>Stocks - Bonds</t>
  </si>
  <si>
    <t>Historical risk premium</t>
  </si>
  <si>
    <t>Expected growth rate in the long term (after year 5) =</t>
  </si>
  <si>
    <t>Historical High ERP (1960-Current) =</t>
  </si>
  <si>
    <t>ERPHigh</t>
  </si>
  <si>
    <t>ERPLong</t>
  </si>
  <si>
    <t>Ten-year average CF</t>
  </si>
  <si>
    <t>Notes</t>
  </si>
  <si>
    <t>Normalized Cash flow = Average CF yield over last 10 years * Index level at start of quarter</t>
  </si>
  <si>
    <t>Adjusted cash flows and expected growth rate</t>
  </si>
  <si>
    <t>Adjusted cash flows</t>
  </si>
  <si>
    <t>Adjusted growth rate &amp; cash flows</t>
  </si>
  <si>
    <t>Updated cash flows, growth rate</t>
  </si>
  <si>
    <t>Updated cash flows</t>
  </si>
  <si>
    <t>Issuances</t>
  </si>
  <si>
    <t>Stock Issuances</t>
  </si>
  <si>
    <t>Gross Cash Yield</t>
  </si>
  <si>
    <t>Net Cash Yield</t>
  </si>
  <si>
    <t>ERP (Net Cash Yield)</t>
  </si>
  <si>
    <t>Computing the trailing 12 month number (S&amp;P Data updated every quarter on March 15, June 15, Sept 15 and Dec 15)</t>
  </si>
  <si>
    <t>S&amp;P Capital IQ data (updated every month)</t>
  </si>
  <si>
    <t>Month</t>
  </si>
  <si>
    <t>Trailing four quarters</t>
  </si>
  <si>
    <t>Updated at the start of every month</t>
  </si>
  <si>
    <t>Trailing four quarter data for now. Will be updated to actuals in April 2015</t>
  </si>
  <si>
    <t>Ed Yardeni</t>
  </si>
  <si>
    <t>S&amp;P 500 Index</t>
  </si>
  <si>
    <t>Stock Issues</t>
  </si>
  <si>
    <t>Cash Return</t>
  </si>
  <si>
    <t>Net Cash Return</t>
  </si>
  <si>
    <t>Net Income</t>
  </si>
  <si>
    <t>Aggregate (in US dollars)</t>
  </si>
  <si>
    <t>Index Units</t>
  </si>
  <si>
    <t>In Index Units</t>
  </si>
  <si>
    <t>Payout Ratio</t>
  </si>
  <si>
    <t>Cash Return/Net Income</t>
  </si>
  <si>
    <t>Net Cash Return/Net Income</t>
  </si>
  <si>
    <t>Updated July 1, 2015</t>
  </si>
  <si>
    <t>This is what I get from S&amp;P Capital IQ, if I use the raw data from individual companies. It does not match up to what S&amp;P itelf reports once every quarter. Use it to look for trend lines.</t>
  </si>
  <si>
    <t>S&amp;P Operating Earnings thru 6/2015</t>
  </si>
  <si>
    <t>S&amp;P Operating Earnings forecast 6/2016</t>
  </si>
  <si>
    <t>S&amp;P Operating Earnings forecast 12/2016</t>
  </si>
  <si>
    <t>Updated growth rate</t>
  </si>
  <si>
    <t>Enter percentage change in aggregate earnings in the S&amp;P 500</t>
  </si>
  <si>
    <t>Enter the proportion of these earnings that will be returned to stockholders</t>
  </si>
  <si>
    <t>Base numbers</t>
  </si>
  <si>
    <t>Percentage change in index from current level =</t>
  </si>
  <si>
    <t>Base year earnings (adjusted for percentage change in B2)</t>
  </si>
  <si>
    <t>Base year cash flows (based on proportion specified in B3)</t>
  </si>
  <si>
    <t>Proportion of Cash Returned to Investors</t>
  </si>
  <si>
    <t>Current level</t>
  </si>
  <si>
    <t>Historical average (last 10 years) =</t>
  </si>
  <si>
    <t>Historical average (last 5 years) =</t>
  </si>
  <si>
    <t>Direct input =</t>
  </si>
  <si>
    <t>Cash5</t>
  </si>
  <si>
    <t>Cash10</t>
  </si>
  <si>
    <t>Direct</t>
  </si>
  <si>
    <t>What proportion of earnings can companies continue to return?</t>
  </si>
  <si>
    <t>Intrinsic Value Calculator</t>
  </si>
  <si>
    <t>Direct Input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</si>
</sst>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#,##0"/>
    <numFmt numFmtId="174" formatCode="&quot;$&quot;#,##0.0"/>
    <numFmt numFmtId="175" formatCode="&quot;$&quot;#,##0.00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0.00000"/>
    <numFmt numFmtId="180" formatCode="0.0000"/>
    <numFmt numFmtId="181" formatCode="0.000"/>
    <numFmt numFmtId="182" formatCode="0.0000000000000000%"/>
    <numFmt numFmtId="183" formatCode="0.000000000000000%"/>
    <numFmt numFmtId="184" formatCode="[$-409]dddd\,\ mmmm\ d\,\ yy"/>
    <numFmt numFmtId="185" formatCode="m/d/yy;@"/>
    <numFmt numFmtId="186" formatCode="&quot;$&quot;#,##0.00;[Red]&quot;$&quot;#,##0.00"/>
    <numFmt numFmtId="187" formatCode="&quot;$&quot;#,##0.0;[Red]&quot;$&quot;#,##0.0"/>
    <numFmt numFmtId="188" formatCode="&quot;$&quot;#,##0;[Red]&quot;$&quot;#,##0"/>
    <numFmt numFmtId="189" formatCode="0.000000"/>
    <numFmt numFmtId="190" formatCode="0.0000000"/>
    <numFmt numFmtId="191" formatCode="0.00000000"/>
    <numFmt numFmtId="192" formatCode="0.000000000"/>
    <numFmt numFmtId="193" formatCode="&quot;$&quot;#,##0.000000000;[Red]&quot;$&quot;#,##0.000000000"/>
    <numFmt numFmtId="194" formatCode="0.000%"/>
  </numFmts>
  <fonts count="67"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24"/>
      <name val="Geneva"/>
      <family val="0"/>
    </font>
    <font>
      <sz val="10"/>
      <name val="Times"/>
      <family val="0"/>
    </font>
    <font>
      <sz val="12"/>
      <name val="Times"/>
      <family val="0"/>
    </font>
    <font>
      <sz val="9"/>
      <name val="Geneva"/>
      <family val="0"/>
    </font>
    <font>
      <b/>
      <sz val="9"/>
      <name val="Geneva"/>
      <family val="0"/>
    </font>
    <font>
      <b/>
      <sz val="12"/>
      <name val="Times"/>
      <family val="0"/>
    </font>
    <font>
      <b/>
      <u val="single"/>
      <sz val="10"/>
      <color indexed="12"/>
      <name val="Geneva"/>
      <family val="0"/>
    </font>
    <font>
      <b/>
      <u val="single"/>
      <sz val="10"/>
      <color indexed="61"/>
      <name val="Geneva"/>
      <family val="0"/>
    </font>
    <font>
      <sz val="8"/>
      <name val="Verdana"/>
      <family val="0"/>
    </font>
    <font>
      <b/>
      <sz val="12"/>
      <name val="Geneva"/>
      <family val="0"/>
    </font>
    <font>
      <i/>
      <sz val="10"/>
      <name val="Time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Geneva"/>
      <family val="0"/>
    </font>
    <font>
      <sz val="12"/>
      <name val="Calibri"/>
      <family val="0"/>
    </font>
    <font>
      <i/>
      <sz val="12"/>
      <name val="Calibri"/>
      <family val="0"/>
    </font>
    <font>
      <i/>
      <sz val="10"/>
      <name val="Calibri"/>
      <family val="0"/>
    </font>
    <font>
      <sz val="10"/>
      <name val="Calibri"/>
      <family val="0"/>
    </font>
    <font>
      <sz val="16"/>
      <name val="Calibri"/>
      <family val="0"/>
    </font>
    <font>
      <sz val="24"/>
      <name val="Calibri"/>
      <family val="0"/>
    </font>
    <font>
      <b/>
      <sz val="10"/>
      <name val="Calibri"/>
      <family val="0"/>
    </font>
    <font>
      <b/>
      <sz val="24"/>
      <name val="Calibri"/>
      <family val="0"/>
    </font>
    <font>
      <sz val="10"/>
      <color indexed="10"/>
      <name val="Calibri"/>
      <family val="0"/>
    </font>
    <font>
      <b/>
      <sz val="10"/>
      <color indexed="10"/>
      <name val="Calibri"/>
      <family val="0"/>
    </font>
    <font>
      <b/>
      <sz val="12"/>
      <name val="Calibri"/>
      <family val="0"/>
    </font>
    <font>
      <sz val="1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Geneva"/>
      <family val="0"/>
    </font>
    <font>
      <b/>
      <sz val="10"/>
      <color rgb="FFFF000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8"/>
      <name val="Genev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 horizontal="left"/>
    </xf>
    <xf numFmtId="10" fontId="0" fillId="0" borderId="11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0" fillId="0" borderId="0" xfId="59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62" fillId="0" borderId="0" xfId="0" applyFont="1" applyAlignment="1">
      <alignment horizontal="left"/>
    </xf>
    <xf numFmtId="15" fontId="0" fillId="0" borderId="0" xfId="0" applyNumberFormat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0" xfId="59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10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5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10" fontId="0" fillId="0" borderId="14" xfId="0" applyNumberFormat="1" applyBorder="1" applyAlignment="1">
      <alignment/>
    </xf>
    <xf numFmtId="0" fontId="0" fillId="0" borderId="18" xfId="0" applyBorder="1" applyAlignment="1">
      <alignment horizontal="center"/>
    </xf>
    <xf numFmtId="0" fontId="10" fillId="0" borderId="0" xfId="53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0" fontId="0" fillId="0" borderId="0" xfId="59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19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10" fontId="33" fillId="0" borderId="10" xfId="0" applyNumberFormat="1" applyFont="1" applyBorder="1" applyAlignment="1">
      <alignment horizontal="center"/>
    </xf>
    <xf numFmtId="170" fontId="33" fillId="0" borderId="10" xfId="44" applyFont="1" applyBorder="1" applyAlignment="1">
      <alignment/>
    </xf>
    <xf numFmtId="10" fontId="33" fillId="0" borderId="10" xfId="0" applyNumberFormat="1" applyFont="1" applyBorder="1" applyAlignment="1">
      <alignment/>
    </xf>
    <xf numFmtId="0" fontId="33" fillId="0" borderId="0" xfId="0" applyFont="1" applyBorder="1" applyAlignment="1">
      <alignment horizontal="center"/>
    </xf>
    <xf numFmtId="10" fontId="33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17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2" fontId="0" fillId="33" borderId="10" xfId="0" applyNumberFormat="1" applyFont="1" applyFill="1" applyBorder="1" applyAlignment="1">
      <alignment horizontal="center"/>
    </xf>
    <xf numFmtId="1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5" fontId="0" fillId="33" borderId="0" xfId="0" applyNumberFormat="1" applyFill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62" fillId="34" borderId="0" xfId="0" applyFont="1" applyFill="1" applyAlignment="1">
      <alignment horizontal="left"/>
    </xf>
    <xf numFmtId="15" fontId="0" fillId="34" borderId="0" xfId="0" applyNumberFormat="1" applyFill="1" applyAlignment="1">
      <alignment horizontal="center"/>
    </xf>
    <xf numFmtId="2" fontId="0" fillId="16" borderId="0" xfId="0" applyNumberFormat="1" applyFill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 applyAlignment="1">
      <alignment/>
    </xf>
    <xf numFmtId="10" fontId="62" fillId="16" borderId="0" xfId="59" applyNumberFormat="1" applyFont="1" applyFill="1" applyBorder="1" applyAlignment="1" applyProtection="1">
      <alignment/>
      <protection/>
    </xf>
    <xf numFmtId="0" fontId="0" fillId="33" borderId="1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3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0" fontId="2" fillId="35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0" fontId="35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0" fontId="36" fillId="0" borderId="10" xfId="0" applyNumberFormat="1" applyFont="1" applyBorder="1" applyAlignment="1">
      <alignment horizontal="center" vertical="center"/>
    </xf>
    <xf numFmtId="10" fontId="36" fillId="0" borderId="10" xfId="59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0" fontId="36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/>
    </xf>
    <xf numFmtId="10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0" fontId="36" fillId="0" borderId="10" xfId="59" applyNumberFormat="1" applyFont="1" applyBorder="1" applyAlignment="1">
      <alignment horizontal="center"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192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34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39" fillId="0" borderId="0" xfId="0" applyFont="1" applyAlignment="1">
      <alignment/>
    </xf>
    <xf numFmtId="10" fontId="63" fillId="0" borderId="10" xfId="59" applyNumberFormat="1" applyFont="1" applyBorder="1" applyAlignment="1">
      <alignment/>
    </xf>
    <xf numFmtId="0" fontId="39" fillId="0" borderId="10" xfId="0" applyFont="1" applyBorder="1" applyAlignment="1">
      <alignment/>
    </xf>
    <xf numFmtId="9" fontId="41" fillId="33" borderId="10" xfId="0" applyNumberFormat="1" applyFont="1" applyFill="1" applyBorder="1" applyAlignment="1">
      <alignment/>
    </xf>
    <xf numFmtId="10" fontId="63" fillId="0" borderId="10" xfId="0" applyNumberFormat="1" applyFont="1" applyBorder="1" applyAlignment="1">
      <alignment/>
    </xf>
    <xf numFmtId="10" fontId="36" fillId="33" borderId="10" xfId="0" applyNumberFormat="1" applyFont="1" applyFill="1" applyBorder="1" applyAlignment="1">
      <alignment horizontal="center"/>
    </xf>
    <xf numFmtId="10" fontId="36" fillId="34" borderId="10" xfId="0" applyNumberFormat="1" applyFont="1" applyFill="1" applyBorder="1" applyAlignment="1">
      <alignment/>
    </xf>
    <xf numFmtId="10" fontId="41" fillId="33" borderId="10" xfId="0" applyNumberFormat="1" applyFont="1" applyFill="1" applyBorder="1" applyAlignment="1">
      <alignment/>
    </xf>
    <xf numFmtId="10" fontId="64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39" fillId="34" borderId="10" xfId="0" applyNumberFormat="1" applyFont="1" applyFill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36" fillId="0" borderId="24" xfId="0" applyFont="1" applyBorder="1" applyAlignment="1">
      <alignment/>
    </xf>
    <xf numFmtId="0" fontId="36" fillId="0" borderId="10" xfId="0" applyFont="1" applyBorder="1" applyAlignment="1">
      <alignment/>
    </xf>
    <xf numFmtId="170" fontId="36" fillId="0" borderId="10" xfId="44" applyFont="1" applyBorder="1" applyAlignment="1">
      <alignment/>
    </xf>
    <xf numFmtId="0" fontId="36" fillId="0" borderId="13" xfId="0" applyFont="1" applyBorder="1" applyAlignment="1">
      <alignment/>
    </xf>
    <xf numFmtId="170" fontId="36" fillId="0" borderId="13" xfId="44" applyFont="1" applyBorder="1" applyAlignment="1">
      <alignment/>
    </xf>
    <xf numFmtId="0" fontId="36" fillId="0" borderId="12" xfId="0" applyFont="1" applyBorder="1" applyAlignment="1">
      <alignment/>
    </xf>
    <xf numFmtId="170" fontId="36" fillId="34" borderId="14" xfId="44" applyFont="1" applyFill="1" applyBorder="1" applyAlignment="1">
      <alignment/>
    </xf>
    <xf numFmtId="170" fontId="36" fillId="0" borderId="0" xfId="44" applyFont="1" applyBorder="1" applyAlignment="1">
      <alignment/>
    </xf>
    <xf numFmtId="2" fontId="36" fillId="34" borderId="24" xfId="0" applyNumberFormat="1" applyFont="1" applyFill="1" applyBorder="1" applyAlignment="1">
      <alignment horizontal="center"/>
    </xf>
    <xf numFmtId="2" fontId="36" fillId="34" borderId="10" xfId="0" applyNumberFormat="1" applyFont="1" applyFill="1" applyBorder="1" applyAlignment="1">
      <alignment horizontal="center"/>
    </xf>
    <xf numFmtId="10" fontId="39" fillId="0" borderId="0" xfId="0" applyNumberFormat="1" applyFont="1" applyAlignment="1">
      <alignment/>
    </xf>
    <xf numFmtId="10" fontId="39" fillId="34" borderId="14" xfId="59" applyNumberFormat="1" applyFont="1" applyFill="1" applyBorder="1" applyAlignment="1">
      <alignment/>
    </xf>
    <xf numFmtId="2" fontId="39" fillId="36" borderId="0" xfId="0" applyNumberFormat="1" applyFont="1" applyFill="1" applyBorder="1" applyAlignment="1">
      <alignment/>
    </xf>
    <xf numFmtId="10" fontId="64" fillId="0" borderId="10" xfId="59" applyNumberFormat="1" applyFont="1" applyBorder="1" applyAlignment="1">
      <alignment/>
    </xf>
    <xf numFmtId="10" fontId="64" fillId="33" borderId="10" xfId="0" applyNumberFormat="1" applyFont="1" applyFill="1" applyBorder="1" applyAlignment="1">
      <alignment/>
    </xf>
    <xf numFmtId="9" fontId="65" fillId="33" borderId="10" xfId="0" applyNumberFormat="1" applyFont="1" applyFill="1" applyBorder="1" applyAlignment="1">
      <alignment horizontal="center"/>
    </xf>
    <xf numFmtId="10" fontId="65" fillId="34" borderId="10" xfId="0" applyNumberFormat="1" applyFont="1" applyFill="1" applyBorder="1" applyAlignment="1">
      <alignment/>
    </xf>
    <xf numFmtId="10" fontId="36" fillId="34" borderId="10" xfId="59" applyNumberFormat="1" applyFont="1" applyFill="1" applyBorder="1" applyAlignment="1">
      <alignment/>
    </xf>
    <xf numFmtId="10" fontId="64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619125</xdr:colOff>
      <xdr:row>22</xdr:row>
      <xdr:rowOff>0</xdr:rowOff>
    </xdr:from>
    <xdr:ext cx="152400" cy="333375"/>
    <xdr:sp>
      <xdr:nvSpPr>
        <xdr:cNvPr id="1" name="Rectangle 1"/>
        <xdr:cNvSpPr>
          <a:spLocks/>
        </xdr:cNvSpPr>
      </xdr:nvSpPr>
      <xdr:spPr>
        <a:xfrm>
          <a:off x="10420350" y="41624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List1" displayName="List1" ref="A1:G20" totalsRowShown="0">
  <autoFilter ref="A1:G20"/>
  <tableColumns count="7">
    <tableColumn id="1" name="Year"/>
    <tableColumn id="2" name="Dividend Yield"/>
    <tableColumn id="3" name="Buybacks/Index"/>
    <tableColumn id="4" name="Gross Cash Yield"/>
    <tableColumn id="7" name="Payout"/>
    <tableColumn id="8" name="Return on Equity"/>
    <tableColumn id="9" name="Net Profit Margi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tset.com/websitefiles/PDFs/earningsinsight/earningsinsight_12.19.14" TargetMode="External" /><Relationship Id="rId2" Type="http://schemas.openxmlformats.org/officeDocument/2006/relationships/hyperlink" Target="http://www.trpropresearch.com" TargetMode="External" /><Relationship Id="rId3" Type="http://schemas.openxmlformats.org/officeDocument/2006/relationships/hyperlink" Target="http://us.spindices.com/indices/equity/sp-500" TargetMode="External" /><Relationship Id="rId4" Type="http://schemas.openxmlformats.org/officeDocument/2006/relationships/hyperlink" Target="http://www.yardeni.com/Pub/peacockfeval.pdf" TargetMode="External" /><Relationship Id="rId5" Type="http://schemas.openxmlformats.org/officeDocument/2006/relationships/comments" Target="../comments3.xml" /><Relationship Id="rId6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25" zoomScaleNormal="125" workbookViewId="0" topLeftCell="A1">
      <selection activeCell="B5" sqref="B5"/>
    </sheetView>
  </sheetViews>
  <sheetFormatPr defaultColWidth="11.00390625" defaultRowHeight="12.75"/>
  <cols>
    <col min="1" max="1" width="54.125" style="0" bestFit="1" customWidth="1"/>
    <col min="2" max="2" width="14.625" style="0" customWidth="1"/>
    <col min="3" max="6" width="12.625" style="0" customWidth="1"/>
    <col min="7" max="7" width="9.375" style="0" customWidth="1"/>
    <col min="13" max="13" width="10.75390625" style="49" customWidth="1"/>
  </cols>
  <sheetData>
    <row r="1" spans="1:13" s="126" customFormat="1" ht="31.5">
      <c r="A1" s="125" t="s">
        <v>168</v>
      </c>
      <c r="B1" s="125"/>
      <c r="C1" s="125"/>
      <c r="D1" s="125"/>
      <c r="E1" s="125"/>
      <c r="F1" s="125"/>
      <c r="G1" s="125"/>
      <c r="H1" s="125"/>
      <c r="I1" s="125"/>
      <c r="J1" s="125"/>
      <c r="M1" s="127"/>
    </row>
    <row r="2" spans="1:8" s="130" customFormat="1" ht="31.5">
      <c r="A2" s="128" t="s">
        <v>47</v>
      </c>
      <c r="B2" s="129"/>
      <c r="D2" s="131" t="s">
        <v>48</v>
      </c>
      <c r="E2" s="127"/>
      <c r="F2" s="127"/>
      <c r="G2" s="127"/>
      <c r="H2" s="127"/>
    </row>
    <row r="3" spans="1:8" s="133" customFormat="1" ht="12.75">
      <c r="A3" s="127" t="s">
        <v>34</v>
      </c>
      <c r="B3" s="132">
        <v>1951.13</v>
      </c>
      <c r="D3" s="127" t="s">
        <v>49</v>
      </c>
      <c r="G3" s="134">
        <f>('Buyback &amp; Dividend computation'!C35/'Buyback &amp; Dividend computation'!C26)^(1/10)-1</f>
        <v>0.04272049869994543</v>
      </c>
      <c r="H3" s="135" t="s">
        <v>54</v>
      </c>
    </row>
    <row r="4" spans="1:8" s="133" customFormat="1" ht="12.75">
      <c r="A4" s="127" t="s">
        <v>153</v>
      </c>
      <c r="B4" s="136">
        <v>0</v>
      </c>
      <c r="D4" s="127" t="s">
        <v>50</v>
      </c>
      <c r="G4" s="137">
        <f>'Expected growth rate'!B9</f>
        <v>0.07269592113320456</v>
      </c>
      <c r="H4" s="135" t="s">
        <v>55</v>
      </c>
    </row>
    <row r="5" spans="1:8" s="133" customFormat="1" ht="12.75">
      <c r="A5" s="127" t="s">
        <v>167</v>
      </c>
      <c r="B5" s="164" t="s">
        <v>33</v>
      </c>
      <c r="D5" s="127" t="s">
        <v>51</v>
      </c>
      <c r="G5" s="137">
        <v>0.063</v>
      </c>
      <c r="H5" s="135" t="s">
        <v>56</v>
      </c>
    </row>
    <row r="6" spans="1:8" s="133" customFormat="1" ht="12.75">
      <c r="A6" s="127" t="s">
        <v>154</v>
      </c>
      <c r="B6" s="165">
        <f>IF(B5="C",G17,IF(B5="Cash5",G18,IF(B5="Cash10",G19,G20)))</f>
        <v>0.9102252962828136</v>
      </c>
      <c r="D6" s="127" t="s">
        <v>52</v>
      </c>
      <c r="G6" s="134">
        <f>'Buyback &amp; Dividend computation'!F15*(1-B4)*(1-'Intrinsic value calculator'!B6)</f>
        <v>0.014567821836986442</v>
      </c>
      <c r="H6" s="135" t="s">
        <v>57</v>
      </c>
    </row>
    <row r="7" spans="1:8" s="133" customFormat="1" ht="12.75">
      <c r="A7" s="127" t="s">
        <v>59</v>
      </c>
      <c r="B7" s="138" t="s">
        <v>56</v>
      </c>
      <c r="C7" s="127"/>
      <c r="D7" s="127" t="s">
        <v>53</v>
      </c>
      <c r="G7" s="134">
        <f>'Buyback &amp; Dividend computation'!F17*(1-'Intrinsic value calculator'!B6)</f>
        <v>0.01449180081633251</v>
      </c>
      <c r="H7" s="135" t="s">
        <v>58</v>
      </c>
    </row>
    <row r="8" spans="1:2" s="133" customFormat="1" ht="12.75">
      <c r="A8" s="127" t="s">
        <v>60</v>
      </c>
      <c r="B8" s="139">
        <f>IF(B7="H",G3,IF(B7="BU",G4,IF(B7="TD",G5,IF(B7="FC",G6,G7))))</f>
        <v>0.063</v>
      </c>
    </row>
    <row r="9" spans="1:4" s="133" customFormat="1" ht="15.75">
      <c r="A9" s="127" t="s">
        <v>61</v>
      </c>
      <c r="B9" s="140">
        <v>0.0227</v>
      </c>
      <c r="D9" s="131" t="s">
        <v>82</v>
      </c>
    </row>
    <row r="10" spans="1:8" s="133" customFormat="1" ht="12.75">
      <c r="A10" s="127" t="s">
        <v>80</v>
      </c>
      <c r="B10" s="138" t="s">
        <v>166</v>
      </c>
      <c r="D10" s="127" t="s">
        <v>62</v>
      </c>
      <c r="G10" s="141">
        <f>'Historical ERP'!J89</f>
        <v>0.045969805259763685</v>
      </c>
      <c r="H10" s="135" t="s">
        <v>76</v>
      </c>
    </row>
    <row r="11" spans="1:8" s="127" customFormat="1" ht="15.75">
      <c r="A11" s="127" t="s">
        <v>79</v>
      </c>
      <c r="B11" s="166">
        <f>IF(B10="HUS",G10,IF(B10="HG",G11,IF(B10="ERP10",G12,IF(B10="ERPLong",G13,IF(B10="ERPHigh",G14,G15)))))</f>
        <v>0.0633</v>
      </c>
      <c r="C11" s="133"/>
      <c r="D11" s="127" t="s">
        <v>63</v>
      </c>
      <c r="E11" s="142"/>
      <c r="F11" s="142"/>
      <c r="G11" s="141">
        <v>0.04</v>
      </c>
      <c r="H11" s="135" t="s">
        <v>77</v>
      </c>
    </row>
    <row r="12" spans="1:8" s="133" customFormat="1" ht="12.75">
      <c r="A12" s="127" t="s">
        <v>112</v>
      </c>
      <c r="B12" s="139">
        <f>B9</f>
        <v>0.0227</v>
      </c>
      <c r="C12" s="127"/>
      <c r="D12" s="127" t="s">
        <v>64</v>
      </c>
      <c r="G12" s="141">
        <f>AVERAGE('Implied ERP- Annual since 1960'!E47:E56)</f>
        <v>0.051129999999999995</v>
      </c>
      <c r="H12" s="135" t="s">
        <v>78</v>
      </c>
    </row>
    <row r="13" spans="4:8" s="133" customFormat="1" ht="12.75">
      <c r="D13" s="127" t="s">
        <v>65</v>
      </c>
      <c r="G13" s="141">
        <f>AVERAGE('Implied ERP- Annual since 1960'!E3:E56)</f>
        <v>0.04073888888888889</v>
      </c>
      <c r="H13" s="135" t="s">
        <v>115</v>
      </c>
    </row>
    <row r="14" spans="1:8" s="133" customFormat="1" ht="12.75">
      <c r="A14" s="143" t="s">
        <v>155</v>
      </c>
      <c r="D14" s="127" t="s">
        <v>113</v>
      </c>
      <c r="G14" s="141">
        <f>MAX('Implied ERP- Annual since 1960'!E3:E56)</f>
        <v>0.0645</v>
      </c>
      <c r="H14" s="135" t="s">
        <v>114</v>
      </c>
    </row>
    <row r="15" spans="1:8" s="133" customFormat="1" ht="12.75">
      <c r="A15" s="144" t="s">
        <v>157</v>
      </c>
      <c r="B15" s="145">
        <f>'Buyback &amp; Dividend computation'!C36*(1+'Intrinsic value calculator'!B4)</f>
        <v>111.59700674157305</v>
      </c>
      <c r="D15" s="127" t="s">
        <v>169</v>
      </c>
      <c r="G15" s="167">
        <v>0.0633</v>
      </c>
      <c r="H15" s="133" t="s">
        <v>166</v>
      </c>
    </row>
    <row r="16" spans="1:4" s="133" customFormat="1" ht="15.75">
      <c r="A16" s="144" t="s">
        <v>158</v>
      </c>
      <c r="B16" s="145">
        <f>B15*B6</f>
        <v>101.57841852562348</v>
      </c>
      <c r="D16" s="131" t="s">
        <v>159</v>
      </c>
    </row>
    <row r="17" spans="1:8" s="133" customFormat="1" ht="12.75">
      <c r="A17" s="144"/>
      <c r="B17" s="161"/>
      <c r="D17" s="127" t="s">
        <v>160</v>
      </c>
      <c r="E17" s="127"/>
      <c r="F17" s="127"/>
      <c r="G17" s="162">
        <f>'Buyback &amp; Dividend computation'!G36/'Buyback &amp; Dividend computation'!C36</f>
        <v>0.9102252962828136</v>
      </c>
      <c r="H17" s="135" t="s">
        <v>33</v>
      </c>
    </row>
    <row r="18" spans="1:8" s="133" customFormat="1" ht="12.75">
      <c r="A18" s="144"/>
      <c r="B18" s="161"/>
      <c r="D18" s="127" t="s">
        <v>162</v>
      </c>
      <c r="E18" s="127"/>
      <c r="F18" s="127"/>
      <c r="G18" s="141">
        <f>'Buyback &amp; Dividend computation'!E17</f>
        <v>0.7368166268612077</v>
      </c>
      <c r="H18" s="135" t="s">
        <v>164</v>
      </c>
    </row>
    <row r="19" spans="1:8" s="133" customFormat="1" ht="12.75">
      <c r="A19" s="144"/>
      <c r="B19" s="161"/>
      <c r="D19" s="127" t="s">
        <v>161</v>
      </c>
      <c r="E19" s="127"/>
      <c r="F19" s="127"/>
      <c r="G19" s="141">
        <f>'Buyback &amp; Dividend computation'!E16</f>
        <v>0.8437084422951042</v>
      </c>
      <c r="H19" s="135" t="s">
        <v>165</v>
      </c>
    </row>
    <row r="20" spans="1:8" s="133" customFormat="1" ht="12.75">
      <c r="A20" s="144"/>
      <c r="B20" s="161"/>
      <c r="D20" s="127" t="s">
        <v>163</v>
      </c>
      <c r="E20" s="127"/>
      <c r="F20" s="127"/>
      <c r="G20" s="163">
        <v>0.8</v>
      </c>
      <c r="H20" s="135" t="s">
        <v>166</v>
      </c>
    </row>
    <row r="21" spans="1:2" s="133" customFormat="1" ht="12.75">
      <c r="A21" s="144"/>
      <c r="B21" s="161"/>
    </row>
    <row r="22" s="133" customFormat="1" ht="13.5" thickBot="1"/>
    <row r="23" spans="1:8" s="133" customFormat="1" ht="16.5" thickBot="1">
      <c r="A23" s="146" t="s">
        <v>81</v>
      </c>
      <c r="B23" s="147"/>
      <c r="C23" s="147"/>
      <c r="D23" s="147"/>
      <c r="E23" s="147"/>
      <c r="F23" s="148"/>
      <c r="G23" s="142"/>
      <c r="H23" s="142"/>
    </row>
    <row r="24" spans="1:6" s="133" customFormat="1" ht="12.75">
      <c r="A24" s="149"/>
      <c r="B24" s="149">
        <v>1</v>
      </c>
      <c r="C24" s="149">
        <v>2</v>
      </c>
      <c r="D24" s="149">
        <v>3</v>
      </c>
      <c r="E24" s="149">
        <v>4</v>
      </c>
      <c r="F24" s="149">
        <v>5</v>
      </c>
    </row>
    <row r="25" spans="1:12" s="133" customFormat="1" ht="15.75">
      <c r="A25" s="150" t="s">
        <v>0</v>
      </c>
      <c r="B25" s="151">
        <f>B16*(1+$B$8)^B24</f>
        <v>107.97785889273774</v>
      </c>
      <c r="C25" s="151">
        <f>B25*(1+$B$8)</f>
        <v>114.78046400298021</v>
      </c>
      <c r="D25" s="151">
        <f>C25*(1+$B$8)</f>
        <v>122.01163323516796</v>
      </c>
      <c r="E25" s="151">
        <f>D25*(1+$B$8)</f>
        <v>129.69836612898354</v>
      </c>
      <c r="F25" s="151">
        <f>E25*(1+$B$8)</f>
        <v>137.86936319510949</v>
      </c>
      <c r="J25" s="142"/>
      <c r="K25" s="142"/>
      <c r="L25" s="142"/>
    </row>
    <row r="26" spans="1:13" s="142" customFormat="1" ht="15" customHeight="1">
      <c r="A26" s="150" t="s">
        <v>1</v>
      </c>
      <c r="B26" s="151"/>
      <c r="C26" s="151"/>
      <c r="D26" s="151"/>
      <c r="E26" s="151"/>
      <c r="F26" s="151">
        <f>F25*(1+B12)/(B9+B11-B12)</f>
        <v>2227.4723181617455</v>
      </c>
      <c r="G26" s="133"/>
      <c r="H26" s="133"/>
      <c r="I26" s="133"/>
      <c r="J26" s="133"/>
      <c r="K26" s="133"/>
      <c r="L26" s="133"/>
      <c r="M26" s="133"/>
    </row>
    <row r="27" spans="1:9" s="133" customFormat="1" ht="16.5" thickBot="1">
      <c r="A27" s="152" t="s">
        <v>2</v>
      </c>
      <c r="B27" s="153">
        <f>B25/(1+$B$9+$B$11)^B24</f>
        <v>99.42712605224472</v>
      </c>
      <c r="C27" s="151">
        <f>C25/(1+$B$9+$B$11)^C24</f>
        <v>97.32139502167232</v>
      </c>
      <c r="D27" s="151">
        <f>D25/(1+$B$9+$B$11)^D24</f>
        <v>95.26026050463875</v>
      </c>
      <c r="E27" s="151">
        <f>E25/(1+$B$9+$B$11)^E24</f>
        <v>93.24277800776335</v>
      </c>
      <c r="F27" s="151">
        <f>(F25+F26)/(1+$B$9+$B$11)^F24</f>
        <v>1565.8305374763422</v>
      </c>
      <c r="I27" s="142"/>
    </row>
    <row r="28" spans="1:6" s="133" customFormat="1" ht="13.5" thickBot="1">
      <c r="A28" s="154" t="s">
        <v>3</v>
      </c>
      <c r="B28" s="155">
        <f>SUM(B27:F27)</f>
        <v>1951.0820970626614</v>
      </c>
      <c r="C28" s="156"/>
      <c r="D28" s="156"/>
      <c r="E28" s="156"/>
      <c r="F28" s="156"/>
    </row>
    <row r="29" spans="1:2" s="133" customFormat="1" ht="12.75">
      <c r="A29" s="150" t="s">
        <v>85</v>
      </c>
      <c r="B29" s="157">
        <f>B28/'Buyback &amp; Dividend computation'!C36</f>
        <v>17.48328341440925</v>
      </c>
    </row>
    <row r="30" spans="1:11" s="133" customFormat="1" ht="12.75">
      <c r="A30" s="150" t="s">
        <v>88</v>
      </c>
      <c r="B30" s="158">
        <f>B28/AVERAGE('Buyback &amp; Dividend computation'!P24:P33)</f>
        <v>23.607414480697827</v>
      </c>
      <c r="K30" s="159"/>
    </row>
    <row r="31" s="133" customFormat="1" ht="13.5" thickBot="1"/>
    <row r="32" spans="1:2" s="133" customFormat="1" ht="13.5" thickBot="1">
      <c r="A32" s="144" t="s">
        <v>156</v>
      </c>
      <c r="B32" s="160">
        <f>B28/B3-1</f>
        <v>-2.4551381680670836E-05</v>
      </c>
    </row>
    <row r="33" ht="12.75"/>
    <row r="34" ht="12.75"/>
    <row r="35" ht="12.75"/>
    <row r="36" ht="12.75"/>
    <row r="37" ht="12.75"/>
    <row r="38" ht="12.75"/>
  </sheetData>
  <sheetProtection/>
  <mergeCells count="1">
    <mergeCell ref="A1:J1"/>
  </mergeCells>
  <dataValidations count="3">
    <dataValidation type="list" allowBlank="1" showInputMessage="1" showErrorMessage="1" sqref="B7">
      <formula1>'Intrinsic value calculator'!$H$3:$H$7</formula1>
    </dataValidation>
    <dataValidation type="list" allowBlank="1" showInputMessage="1" showErrorMessage="1" sqref="B10">
      <formula1>'Intrinsic value calculator'!$H$10:$H$15</formula1>
    </dataValidation>
    <dataValidation type="list" allowBlank="1" showInputMessage="1" showErrorMessage="1" sqref="B5">
      <formula1>'Intrinsic value calculator'!$H$17:$H$20</formula1>
    </dataValidation>
  </dataValidations>
  <printOptions gridLines="1"/>
  <pageMargins left="0.75" right="0.75" top="1" bottom="1" header="0.5" footer="0.5"/>
  <pageSetup orientation="landscape" scale="80"/>
  <headerFooter alignWithMargins="0">
    <oddHeader>&amp;C&amp;A</oddHeader>
    <oddFooter>&amp;CPage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E18" sqref="E18"/>
    </sheetView>
  </sheetViews>
  <sheetFormatPr defaultColWidth="11.00390625" defaultRowHeight="12.75"/>
  <cols>
    <col min="1" max="1" width="15.375" style="2" bestFit="1" customWidth="1"/>
    <col min="2" max="2" width="15.875" style="2" bestFit="1" customWidth="1"/>
    <col min="3" max="16384" width="10.75390625" style="2" customWidth="1"/>
  </cols>
  <sheetData>
    <row r="1" spans="1:7" ht="25.5">
      <c r="A1" s="6" t="s">
        <v>6</v>
      </c>
      <c r="B1" s="2" t="s">
        <v>4</v>
      </c>
      <c r="C1" s="2" t="s">
        <v>5</v>
      </c>
      <c r="D1" s="34" t="s">
        <v>126</v>
      </c>
      <c r="E1" s="7" t="s">
        <v>42</v>
      </c>
      <c r="F1" s="7" t="s">
        <v>45</v>
      </c>
      <c r="G1" s="7" t="s">
        <v>46</v>
      </c>
    </row>
    <row r="2" spans="1:7" ht="12.75">
      <c r="A2" s="7">
        <v>2001</v>
      </c>
      <c r="B2" s="3">
        <f aca="true" t="shared" si="0" ref="B2:B14">I22</f>
        <v>0.013709726589378883</v>
      </c>
      <c r="C2" s="3">
        <f aca="true" t="shared" si="1" ref="C2:C14">J22</f>
        <v>0.012490273410621118</v>
      </c>
      <c r="D2" s="37">
        <f aca="true" t="shared" si="2" ref="D2:D14">K22</f>
        <v>0.0262</v>
      </c>
      <c r="E2" s="40">
        <f>(D22+E22)/C22</f>
        <v>0.7742588931788931</v>
      </c>
      <c r="F2" s="40">
        <f aca="true" t="shared" si="3" ref="F2:F14">C22/M22</f>
        <v>0.11924493554327809</v>
      </c>
      <c r="G2" s="40">
        <f aca="true" t="shared" si="4" ref="G2:G14">C22/N22</f>
        <v>0.0527222885680165</v>
      </c>
    </row>
    <row r="3" spans="1:7" ht="12.75">
      <c r="A3" s="7">
        <v>2002</v>
      </c>
      <c r="B3" s="3">
        <f t="shared" si="0"/>
        <v>0.01814007410606715</v>
      </c>
      <c r="C3" s="3">
        <f t="shared" si="1"/>
        <v>0.01575992589393285</v>
      </c>
      <c r="D3" s="37">
        <f t="shared" si="2"/>
        <v>0.0339</v>
      </c>
      <c r="E3" s="40">
        <f aca="true" t="shared" si="5" ref="E3:E13">(D23+E23)/C23</f>
        <v>0.6478257602085143</v>
      </c>
      <c r="F3" s="40">
        <f t="shared" si="3"/>
        <v>0.1360640718739841</v>
      </c>
      <c r="G3" s="40">
        <f t="shared" si="4"/>
        <v>0.06824886227189848</v>
      </c>
    </row>
    <row r="4" spans="1:7" ht="12.75">
      <c r="A4" s="7">
        <v>2003</v>
      </c>
      <c r="B4" s="3">
        <f t="shared" si="0"/>
        <v>0.016080438164959392</v>
      </c>
      <c r="C4" s="3">
        <f t="shared" si="1"/>
        <v>0.01231956183504061</v>
      </c>
      <c r="D4" s="37">
        <f t="shared" si="2"/>
        <v>0.0284</v>
      </c>
      <c r="E4" s="40">
        <f t="shared" si="5"/>
        <v>0.5774043518010606</v>
      </c>
      <c r="F4" s="40">
        <f t="shared" si="3"/>
        <v>0.1679049490359818</v>
      </c>
      <c r="G4" s="40">
        <f t="shared" si="4"/>
        <v>0.07694039194721515</v>
      </c>
    </row>
    <row r="5" spans="1:7" ht="12.75">
      <c r="A5" s="7">
        <v>2004</v>
      </c>
      <c r="B5" s="3">
        <f t="shared" si="0"/>
        <v>0.01568585385173939</v>
      </c>
      <c r="C5" s="3">
        <f t="shared" si="1"/>
        <v>0.01781414614826061</v>
      </c>
      <c r="D5" s="37">
        <f t="shared" si="2"/>
        <v>0.0335</v>
      </c>
      <c r="E5" s="40">
        <f t="shared" si="5"/>
        <v>0.5998717494089835</v>
      </c>
      <c r="F5" s="40">
        <f t="shared" si="3"/>
        <v>0.18432878503145683</v>
      </c>
      <c r="G5" s="40">
        <f t="shared" si="4"/>
        <v>0.08586979966250936</v>
      </c>
    </row>
    <row r="6" spans="1:7" ht="12.75">
      <c r="A6" s="7">
        <v>2005</v>
      </c>
      <c r="B6" s="3">
        <f t="shared" si="0"/>
        <v>0.0179</v>
      </c>
      <c r="C6" s="3">
        <f t="shared" si="1"/>
        <v>0.0311</v>
      </c>
      <c r="D6" s="37">
        <f t="shared" si="2"/>
        <v>0.049</v>
      </c>
      <c r="E6" s="40">
        <f t="shared" si="5"/>
        <v>0.8000812295618049</v>
      </c>
      <c r="F6" s="40">
        <f t="shared" si="3"/>
        <v>0.1843279083785413</v>
      </c>
      <c r="G6" s="40">
        <f t="shared" si="4"/>
        <v>0.08743938146216489</v>
      </c>
    </row>
    <row r="7" spans="1:7" ht="12.75">
      <c r="A7" s="7">
        <v>2006</v>
      </c>
      <c r="B7" s="3">
        <f t="shared" si="0"/>
        <v>0.01765653232775552</v>
      </c>
      <c r="C7" s="3">
        <f t="shared" si="1"/>
        <v>0.033924895906984054</v>
      </c>
      <c r="D7" s="37">
        <f t="shared" si="2"/>
        <v>0.0516</v>
      </c>
      <c r="E7" s="40">
        <f t="shared" si="5"/>
        <v>0.833993840234053</v>
      </c>
      <c r="F7" s="40">
        <f t="shared" si="3"/>
        <v>0.19361673950470137</v>
      </c>
      <c r="G7" s="40">
        <f t="shared" si="4"/>
        <v>0.09209352132786007</v>
      </c>
    </row>
    <row r="8" spans="1:7" ht="12.75">
      <c r="A8" s="8">
        <v>2007</v>
      </c>
      <c r="B8" s="3">
        <f t="shared" si="0"/>
        <v>0.01916304009947156</v>
      </c>
      <c r="C8" s="3">
        <f t="shared" si="1"/>
        <v>0.04578178427105999</v>
      </c>
      <c r="D8" s="37">
        <f t="shared" si="2"/>
        <v>0.06494482437053155</v>
      </c>
      <c r="E8" s="40">
        <f t="shared" si="5"/>
        <v>1.1553474959136625</v>
      </c>
      <c r="F8" s="40">
        <f t="shared" si="3"/>
        <v>0.1636432125934297</v>
      </c>
      <c r="G8" s="40">
        <f t="shared" si="4"/>
        <v>0.08052054473797168</v>
      </c>
    </row>
    <row r="9" spans="1:7" ht="12.75">
      <c r="A9" s="2">
        <v>2008</v>
      </c>
      <c r="B9" s="3">
        <f t="shared" si="0"/>
        <v>0.03149388690779419</v>
      </c>
      <c r="C9" s="3">
        <f t="shared" si="1"/>
        <v>0.04325522159959246</v>
      </c>
      <c r="D9" s="37">
        <f t="shared" si="2"/>
        <v>0.07474910850738666</v>
      </c>
      <c r="E9" s="40">
        <f t="shared" si="5"/>
        <v>1.3637069735264997</v>
      </c>
      <c r="F9" s="40">
        <f t="shared" si="3"/>
        <v>0.09348741479257539</v>
      </c>
      <c r="G9" s="40">
        <f t="shared" si="4"/>
        <v>0.04749342900447019</v>
      </c>
    </row>
    <row r="10" spans="1:7" ht="12.75">
      <c r="A10" s="2">
        <v>2009</v>
      </c>
      <c r="B10" s="3">
        <f t="shared" si="0"/>
        <v>0.019702860596293312</v>
      </c>
      <c r="C10" s="3">
        <f t="shared" si="1"/>
        <v>0.013864826752618856</v>
      </c>
      <c r="D10" s="37">
        <f t="shared" si="2"/>
        <v>0.03356768734891217</v>
      </c>
      <c r="E10" s="40">
        <f t="shared" si="5"/>
        <v>0.658247826135017</v>
      </c>
      <c r="F10" s="40">
        <f t="shared" si="3"/>
        <v>0.1259720406761637</v>
      </c>
      <c r="G10" s="40">
        <f t="shared" si="4"/>
        <v>0.06259357111404668</v>
      </c>
    </row>
    <row r="11" spans="1:7" ht="12.75">
      <c r="A11" s="2">
        <v>2010</v>
      </c>
      <c r="B11" s="3">
        <f t="shared" si="0"/>
        <v>0.01800787401574803</v>
      </c>
      <c r="C11" s="3">
        <f t="shared" si="1"/>
        <v>0.026143482064741905</v>
      </c>
      <c r="D11" s="37">
        <f t="shared" si="2"/>
        <v>0.04415135608048994</v>
      </c>
      <c r="E11" s="40">
        <f t="shared" si="5"/>
        <v>0.6628448306203578</v>
      </c>
      <c r="F11" s="40">
        <f t="shared" si="3"/>
        <v>0.16310993418746833</v>
      </c>
      <c r="G11" s="40">
        <f t="shared" si="4"/>
        <v>0.08701478119059737</v>
      </c>
    </row>
    <row r="12" spans="1:7" ht="12.75">
      <c r="A12" s="2">
        <v>2011</v>
      </c>
      <c r="B12" s="3">
        <f t="shared" si="0"/>
        <v>0.021097935880544576</v>
      </c>
      <c r="C12" s="3">
        <f t="shared" si="1"/>
        <v>0.03558014931927976</v>
      </c>
      <c r="D12" s="37">
        <f t="shared" si="2"/>
        <v>0.05667808519982434</v>
      </c>
      <c r="E12" s="40">
        <f t="shared" si="5"/>
        <v>0.7390953955547396</v>
      </c>
      <c r="F12" s="40">
        <f t="shared" si="3"/>
        <v>0.1665227751493594</v>
      </c>
      <c r="G12" s="40">
        <f t="shared" si="4"/>
        <v>0.09160073326178016</v>
      </c>
    </row>
    <row r="13" spans="1:7" ht="12.75">
      <c r="A13" s="2">
        <v>2012</v>
      </c>
      <c r="B13" s="22">
        <f t="shared" si="0"/>
        <v>0.021911526514700005</v>
      </c>
      <c r="C13" s="23">
        <f t="shared" si="1"/>
        <v>0.03130670224454559</v>
      </c>
      <c r="D13" s="24">
        <f t="shared" si="2"/>
        <v>0.053218228759245596</v>
      </c>
      <c r="E13" s="40">
        <f t="shared" si="5"/>
        <v>0.7839217689955431</v>
      </c>
      <c r="F13" s="40">
        <f t="shared" si="3"/>
        <v>0.1579084711485142</v>
      </c>
      <c r="G13" s="40">
        <f t="shared" si="4"/>
        <v>0.08863297234453528</v>
      </c>
    </row>
    <row r="14" spans="1:7" ht="12.75">
      <c r="A14" s="2">
        <v>2013</v>
      </c>
      <c r="B14" s="22">
        <f t="shared" si="0"/>
        <v>0.01888160315090134</v>
      </c>
      <c r="C14" s="22">
        <f t="shared" si="1"/>
        <v>0.02879850245623147</v>
      </c>
      <c r="D14" s="24">
        <f t="shared" si="2"/>
        <v>0.04768010560713281</v>
      </c>
      <c r="E14" s="40">
        <f>(D34+E34)/C34</f>
        <v>0.8399733130003811</v>
      </c>
      <c r="F14" s="40">
        <f t="shared" si="3"/>
        <v>0.1573084246667766</v>
      </c>
      <c r="G14" s="40">
        <f t="shared" si="4"/>
        <v>0.09394615019564653</v>
      </c>
    </row>
    <row r="15" spans="1:7" ht="13.5" thickBot="1">
      <c r="A15" s="2">
        <v>2014</v>
      </c>
      <c r="B15" s="22">
        <f>I35</f>
        <v>0.01920928651221526</v>
      </c>
      <c r="C15" s="22">
        <f>J35</f>
        <v>0.030326873573267275</v>
      </c>
      <c r="D15" s="24">
        <f>K35</f>
        <v>0.04953616008548253</v>
      </c>
      <c r="E15" s="40">
        <f>(D35+E35)/C35</f>
        <v>0.878013085399449</v>
      </c>
      <c r="F15" s="40">
        <f>C35/M35</f>
        <v>0.16227089852481</v>
      </c>
      <c r="G15" s="40">
        <f>C35/N35</f>
        <v>0.09963973237261967</v>
      </c>
    </row>
    <row r="16" spans="1:7" ht="13.5" thickBot="1">
      <c r="A16" s="5" t="s">
        <v>24</v>
      </c>
      <c r="B16" s="4"/>
      <c r="C16" s="36"/>
      <c r="D16" s="38">
        <f>AVERAGE(D6:D15)</f>
        <v>0.052512555595900554</v>
      </c>
      <c r="E16" s="3">
        <f>AVERAGE(E5:E14)</f>
        <v>0.8437084422951042</v>
      </c>
      <c r="F16" s="3">
        <f>AVERAGE(F6:F15)</f>
        <v>0.15681678196223398</v>
      </c>
      <c r="G16" s="3">
        <f>AVERAGE(G6:G15)</f>
        <v>0.08309748170116925</v>
      </c>
    </row>
    <row r="17" spans="1:7" ht="13.5" thickBot="1">
      <c r="A17" s="8" t="s">
        <v>25</v>
      </c>
      <c r="B17" s="4"/>
      <c r="C17" s="4"/>
      <c r="D17" s="39">
        <f>AVERAGE(D11:D15)</f>
        <v>0.05025278714643504</v>
      </c>
      <c r="E17" s="3">
        <f>AVERAGE(E10:E14)</f>
        <v>0.7368166268612077</v>
      </c>
      <c r="F17" s="3">
        <f>AVERAGE(F11:F15)</f>
        <v>0.1614241007353857</v>
      </c>
      <c r="G17" s="40">
        <f>AVERAGE(G10:G14)</f>
        <v>0.0847576416213212</v>
      </c>
    </row>
    <row r="18" spans="1:4" ht="13.5" thickBot="1">
      <c r="A18" s="16"/>
      <c r="B18" s="16"/>
      <c r="C18" s="16"/>
      <c r="D18" s="16"/>
    </row>
    <row r="19" spans="1:14" ht="13.5" thickBot="1">
      <c r="A19" s="28" t="s">
        <v>31</v>
      </c>
      <c r="B19" s="16"/>
      <c r="C19" s="16"/>
      <c r="D19" s="92">
        <v>2063.11</v>
      </c>
      <c r="E19" s="21" t="s">
        <v>32</v>
      </c>
      <c r="J19" s="29" t="s">
        <v>39</v>
      </c>
      <c r="M19" s="2" t="s">
        <v>40</v>
      </c>
      <c r="N19" s="30">
        <v>40724</v>
      </c>
    </row>
    <row r="20" spans="1:4" ht="12.75">
      <c r="A20" s="16"/>
      <c r="B20" s="16"/>
      <c r="C20" s="16"/>
      <c r="D20" s="16"/>
    </row>
    <row r="21" spans="1:16" ht="39">
      <c r="A21" s="7" t="s">
        <v>7</v>
      </c>
      <c r="B21" s="13" t="s">
        <v>13</v>
      </c>
      <c r="C21" s="13" t="s">
        <v>41</v>
      </c>
      <c r="D21" s="7" t="s">
        <v>10</v>
      </c>
      <c r="E21" s="7" t="s">
        <v>11</v>
      </c>
      <c r="F21" s="35" t="s">
        <v>125</v>
      </c>
      <c r="G21" s="7" t="s">
        <v>12</v>
      </c>
      <c r="H21" s="7"/>
      <c r="I21" s="7" t="s">
        <v>8</v>
      </c>
      <c r="J21" s="7" t="s">
        <v>9</v>
      </c>
      <c r="K21" s="35" t="s">
        <v>126</v>
      </c>
      <c r="L21" s="35" t="s">
        <v>127</v>
      </c>
      <c r="M21" s="35" t="s">
        <v>43</v>
      </c>
      <c r="N21" s="7" t="s">
        <v>44</v>
      </c>
      <c r="O21" s="2" t="s">
        <v>83</v>
      </c>
      <c r="P21" s="34" t="s">
        <v>84</v>
      </c>
    </row>
    <row r="22" spans="1:18" ht="15">
      <c r="A22" s="7">
        <v>2001</v>
      </c>
      <c r="B22" s="9">
        <v>1148.09</v>
      </c>
      <c r="C22" s="31">
        <v>38.85</v>
      </c>
      <c r="D22" s="10">
        <f aca="true" t="shared" si="6" ref="D22:D28">I22*B22</f>
        <v>15.74</v>
      </c>
      <c r="E22" s="10">
        <f aca="true" t="shared" si="7" ref="E22:E28">J22*B22</f>
        <v>14.339958</v>
      </c>
      <c r="F22" s="10"/>
      <c r="G22" s="10">
        <f aca="true" t="shared" si="8" ref="G22:G33">D22+E22</f>
        <v>30.079957999999998</v>
      </c>
      <c r="H22" s="10"/>
      <c r="I22" s="3">
        <v>0.013709726589378883</v>
      </c>
      <c r="J22" s="3">
        <v>0.012490273410621118</v>
      </c>
      <c r="K22" s="3">
        <v>0.0262</v>
      </c>
      <c r="L22" s="3"/>
      <c r="M22" s="7">
        <v>325.8</v>
      </c>
      <c r="N22" s="7">
        <v>736.88</v>
      </c>
      <c r="O22" s="56">
        <v>0.0160367</v>
      </c>
      <c r="P22" s="50">
        <f>C22*(1+O23)*(1+O24)*(1+O25)*(1+O26)*(1+O27)*(1+O28)*(1+O29)*(1+O30)*(1+O31)*(1+O32)*(1+O33)</f>
        <v>50.624346136674625</v>
      </c>
      <c r="R22"/>
    </row>
    <row r="23" spans="1:18" ht="15">
      <c r="A23" s="7">
        <v>2002</v>
      </c>
      <c r="B23" s="9">
        <v>879.82</v>
      </c>
      <c r="C23" s="32">
        <v>46.04</v>
      </c>
      <c r="D23" s="10">
        <f t="shared" si="6"/>
        <v>15.96</v>
      </c>
      <c r="E23" s="10">
        <f t="shared" si="7"/>
        <v>13.865898</v>
      </c>
      <c r="F23" s="10"/>
      <c r="G23" s="10">
        <f t="shared" si="8"/>
        <v>29.825898000000002</v>
      </c>
      <c r="H23" s="10"/>
      <c r="I23" s="3">
        <v>0.01814007410606715</v>
      </c>
      <c r="J23" s="3">
        <v>0.01575992589393285</v>
      </c>
      <c r="K23" s="3">
        <v>0.0339</v>
      </c>
      <c r="L23" s="3"/>
      <c r="M23" s="7">
        <v>338.37</v>
      </c>
      <c r="N23" s="7">
        <v>674.59</v>
      </c>
      <c r="O23" s="56">
        <v>0.0248027</v>
      </c>
      <c r="P23" s="50">
        <f>C23*(1+O24)*(1+O25)*(1+O26)*(1+O27)*(1+O28)*(1+O29)*(1+O30)*(1+O31)*(1+O32)*(1+O33)</f>
        <v>58.541447656104104</v>
      </c>
      <c r="R23"/>
    </row>
    <row r="24" spans="1:18" ht="15">
      <c r="A24" s="7">
        <v>2003</v>
      </c>
      <c r="B24" s="9">
        <v>1111.91</v>
      </c>
      <c r="C24" s="32">
        <v>54.69</v>
      </c>
      <c r="D24" s="10">
        <f t="shared" si="6"/>
        <v>17.88</v>
      </c>
      <c r="E24" s="10">
        <f t="shared" si="7"/>
        <v>13.698244000000004</v>
      </c>
      <c r="F24" s="10"/>
      <c r="G24" s="10">
        <f t="shared" si="8"/>
        <v>31.578244000000005</v>
      </c>
      <c r="H24" s="10"/>
      <c r="I24" s="3">
        <v>0.016080438164959392</v>
      </c>
      <c r="J24" s="3">
        <v>0.01231956183504061</v>
      </c>
      <c r="K24" s="3">
        <v>0.0284</v>
      </c>
      <c r="L24" s="3"/>
      <c r="M24" s="7">
        <v>325.72</v>
      </c>
      <c r="N24" s="7">
        <v>710.81</v>
      </c>
      <c r="O24" s="56">
        <v>0.020352000000000002</v>
      </c>
      <c r="P24" s="50">
        <f>C24*(1+O25)*(1+O26)*(1+O27)*(1+O28)*(1+O29)*(1+O30)*(1+O31)*(1+O32)*(1+O33)</f>
        <v>68.15316767654541</v>
      </c>
      <c r="R24"/>
    </row>
    <row r="25" spans="1:18" ht="15">
      <c r="A25" s="7">
        <v>2004</v>
      </c>
      <c r="B25" s="9">
        <v>1211.92</v>
      </c>
      <c r="C25" s="32">
        <v>67.68</v>
      </c>
      <c r="D25" s="10">
        <f t="shared" si="6"/>
        <v>19.01</v>
      </c>
      <c r="E25" s="10">
        <f t="shared" si="7"/>
        <v>21.58932</v>
      </c>
      <c r="F25" s="10"/>
      <c r="G25" s="10">
        <f t="shared" si="8"/>
        <v>40.599320000000006</v>
      </c>
      <c r="H25" s="10"/>
      <c r="I25" s="3">
        <v>0.01568585385173939</v>
      </c>
      <c r="J25" s="3">
        <v>0.01781414614826061</v>
      </c>
      <c r="K25" s="3">
        <v>0.0335</v>
      </c>
      <c r="L25" s="3"/>
      <c r="M25" s="7">
        <v>367.17</v>
      </c>
      <c r="N25" s="7">
        <v>788.17</v>
      </c>
      <c r="O25" s="56">
        <v>0.0334232</v>
      </c>
      <c r="P25" s="50">
        <f>C25*(1+O26)*(1+O27)*(1+O28)*(1+O29)*(1+O30)*(1+O31)*(1+O32)*(1+O33)</f>
        <v>81.61317352238356</v>
      </c>
      <c r="R25"/>
    </row>
    <row r="26" spans="1:18" ht="15">
      <c r="A26" s="7">
        <v>2005</v>
      </c>
      <c r="B26" s="9">
        <v>1248.29</v>
      </c>
      <c r="C26" s="32">
        <v>76.45</v>
      </c>
      <c r="D26" s="10">
        <f t="shared" si="6"/>
        <v>22.344390999999998</v>
      </c>
      <c r="E26" s="10">
        <f t="shared" si="7"/>
        <v>38.821819</v>
      </c>
      <c r="F26" s="10"/>
      <c r="G26" s="10">
        <f t="shared" si="8"/>
        <v>61.16620999999999</v>
      </c>
      <c r="H26" s="10"/>
      <c r="I26" s="3">
        <v>0.0179</v>
      </c>
      <c r="J26" s="3">
        <v>0.0311</v>
      </c>
      <c r="K26" s="3">
        <v>0.049</v>
      </c>
      <c r="L26" s="3"/>
      <c r="M26" s="7">
        <v>414.75</v>
      </c>
      <c r="N26" s="7">
        <v>874.32</v>
      </c>
      <c r="O26" s="56">
        <v>0.0333855</v>
      </c>
      <c r="P26" s="50">
        <f>C26*(1+O27)*(1+O28)*(1+O29)*(1+O30)*(1+O31)*(1+O32)*(1+O33)</f>
        <v>89.21030865794525</v>
      </c>
      <c r="R26"/>
    </row>
    <row r="27" spans="1:18" ht="15">
      <c r="A27" s="7">
        <v>2006</v>
      </c>
      <c r="B27" s="9">
        <v>1418.3</v>
      </c>
      <c r="C27" s="32">
        <v>87.72</v>
      </c>
      <c r="D27" s="10">
        <f t="shared" si="6"/>
        <v>25.042259800455653</v>
      </c>
      <c r="E27" s="10">
        <f t="shared" si="7"/>
        <v>48.11567986487548</v>
      </c>
      <c r="F27" s="10"/>
      <c r="G27" s="10">
        <f t="shared" si="8"/>
        <v>73.15793966533113</v>
      </c>
      <c r="H27" s="10"/>
      <c r="I27" s="3">
        <v>0.01765653232775552</v>
      </c>
      <c r="J27" s="3">
        <v>0.033924895906984054</v>
      </c>
      <c r="K27" s="3">
        <v>0.0516</v>
      </c>
      <c r="L27" s="3"/>
      <c r="M27" s="7">
        <v>453.06</v>
      </c>
      <c r="N27" s="7">
        <v>952.51</v>
      </c>
      <c r="O27" s="56">
        <v>0.0252398</v>
      </c>
      <c r="P27" s="50">
        <f>C27*(1+O28)*(1+O29)*(1+O30)*(1+O31)*(1+O32)*(1+O33)</f>
        <v>99.8414128387104</v>
      </c>
      <c r="R27"/>
    </row>
    <row r="28" spans="1:18" ht="15">
      <c r="A28" s="7">
        <v>2007</v>
      </c>
      <c r="B28" s="14">
        <v>1468.36</v>
      </c>
      <c r="C28" s="32">
        <v>82.54</v>
      </c>
      <c r="D28" s="10">
        <f t="shared" si="6"/>
        <v>28.138241560460056</v>
      </c>
      <c r="E28" s="10">
        <f t="shared" si="7"/>
        <v>67.22414075225365</v>
      </c>
      <c r="F28" s="10"/>
      <c r="G28" s="10">
        <f t="shared" si="8"/>
        <v>95.3623823127137</v>
      </c>
      <c r="H28" s="10"/>
      <c r="I28" s="3">
        <v>0.01916304009947156</v>
      </c>
      <c r="J28" s="3">
        <v>0.04578178427105999</v>
      </c>
      <c r="K28" s="3">
        <f>G28/B28</f>
        <v>0.06494482437053155</v>
      </c>
      <c r="L28" s="3"/>
      <c r="M28" s="7">
        <v>504.39</v>
      </c>
      <c r="N28" s="7">
        <v>1025.08</v>
      </c>
      <c r="O28" s="56">
        <v>0.0410881</v>
      </c>
      <c r="P28" s="50">
        <f>C28*(1+O29)*(1+O30)*(1+O31)*(1+O32)*(1+O33)</f>
        <v>90.23792020489182</v>
      </c>
      <c r="R28"/>
    </row>
    <row r="29" spans="1:18" ht="15">
      <c r="A29" s="7">
        <v>2008</v>
      </c>
      <c r="B29" s="11">
        <v>903.25</v>
      </c>
      <c r="C29" s="31">
        <v>49.51</v>
      </c>
      <c r="D29" s="10">
        <f>F45*E45</f>
        <v>28.446853349465105</v>
      </c>
      <c r="E29" s="10">
        <f>G45*E45</f>
        <v>39.07027890983189</v>
      </c>
      <c r="F29" s="10"/>
      <c r="G29" s="10">
        <f t="shared" si="8"/>
        <v>67.517132259297</v>
      </c>
      <c r="H29" s="10"/>
      <c r="I29" s="3">
        <f aca="true" t="shared" si="9" ref="I29:I34">D29/B29</f>
        <v>0.03149388690779419</v>
      </c>
      <c r="J29" s="3">
        <f aca="true" t="shared" si="10" ref="J29:J34">E29/B29</f>
        <v>0.04325522159959246</v>
      </c>
      <c r="K29" s="3">
        <f aca="true" t="shared" si="11" ref="K29:K34">I29+J29</f>
        <v>0.07474910850738666</v>
      </c>
      <c r="L29" s="3"/>
      <c r="M29" s="7">
        <v>529.59</v>
      </c>
      <c r="N29" s="7">
        <v>1042.46</v>
      </c>
      <c r="O29" s="56">
        <v>-0.0002223</v>
      </c>
      <c r="P29" s="50">
        <f>C29*(1+O30)*(1+O31)*(1+O32)*(1+O33)</f>
        <v>54.139481649031225</v>
      </c>
      <c r="R29"/>
    </row>
    <row r="30" spans="1:18" ht="15">
      <c r="A30" s="7">
        <v>2009</v>
      </c>
      <c r="B30" s="11">
        <v>1115</v>
      </c>
      <c r="C30" s="33">
        <v>56.86</v>
      </c>
      <c r="D30" s="10">
        <f>F44*E44</f>
        <v>21.96868956486704</v>
      </c>
      <c r="E30" s="10">
        <f>G44*E44</f>
        <v>15.459281829170026</v>
      </c>
      <c r="F30" s="10"/>
      <c r="G30" s="10">
        <f t="shared" si="8"/>
        <v>37.427971394037066</v>
      </c>
      <c r="H30" s="10"/>
      <c r="I30" s="3">
        <f t="shared" si="9"/>
        <v>0.019702860596293312</v>
      </c>
      <c r="J30" s="3">
        <f t="shared" si="10"/>
        <v>0.013864826752618856</v>
      </c>
      <c r="K30" s="3">
        <f t="shared" si="11"/>
        <v>0.03356768734891217</v>
      </c>
      <c r="L30" s="3"/>
      <c r="M30" s="7">
        <v>451.37</v>
      </c>
      <c r="N30" s="7">
        <v>908.4</v>
      </c>
      <c r="O30" s="56">
        <v>0.028141199999999998</v>
      </c>
      <c r="P30" s="50">
        <f>C30*(1+O31)*(1+O32)*(1+O33)</f>
        <v>60.47491403711952</v>
      </c>
      <c r="R30"/>
    </row>
    <row r="31" spans="1:18" ht="15">
      <c r="A31" s="7">
        <v>2010</v>
      </c>
      <c r="B31" s="12">
        <v>1257.64</v>
      </c>
      <c r="C31" s="33">
        <v>83.77</v>
      </c>
      <c r="D31" s="12">
        <f>F43*E43</f>
        <v>22.647422677165356</v>
      </c>
      <c r="E31" s="12">
        <f>G43*E43</f>
        <v>32.87908878390201</v>
      </c>
      <c r="F31" s="12"/>
      <c r="G31" s="10">
        <f t="shared" si="8"/>
        <v>55.52651146106737</v>
      </c>
      <c r="H31" s="10"/>
      <c r="I31" s="3">
        <f t="shared" si="9"/>
        <v>0.01800787401574803</v>
      </c>
      <c r="J31" s="3">
        <f t="shared" si="10"/>
        <v>0.026143482064741905</v>
      </c>
      <c r="K31" s="3">
        <f t="shared" si="11"/>
        <v>0.04415135608048994</v>
      </c>
      <c r="L31" s="3"/>
      <c r="M31" s="7">
        <v>513.58</v>
      </c>
      <c r="N31" s="7">
        <v>962.71</v>
      </c>
      <c r="O31" s="56">
        <v>0.014377899999999999</v>
      </c>
      <c r="P31" s="50">
        <f>C31*(1+O32)*(1+O33)</f>
        <v>87.83288358190784</v>
      </c>
      <c r="R31"/>
    </row>
    <row r="32" spans="1:18" ht="15">
      <c r="A32" s="7">
        <v>2011</v>
      </c>
      <c r="B32" s="12">
        <v>1257.6</v>
      </c>
      <c r="C32" s="31">
        <v>96.44</v>
      </c>
      <c r="D32" s="12">
        <f>F42*E42</f>
        <v>26.532764163372857</v>
      </c>
      <c r="E32" s="12">
        <f>G42*E42</f>
        <v>44.74559578392622</v>
      </c>
      <c r="F32" s="12"/>
      <c r="G32" s="12">
        <f t="shared" si="8"/>
        <v>71.27835994729908</v>
      </c>
      <c r="H32" s="12"/>
      <c r="I32" s="3">
        <f t="shared" si="9"/>
        <v>0.021097935880544576</v>
      </c>
      <c r="J32" s="3">
        <f t="shared" si="10"/>
        <v>0.03558014931927976</v>
      </c>
      <c r="K32" s="3">
        <f t="shared" si="11"/>
        <v>0.05667808519982434</v>
      </c>
      <c r="L32" s="3"/>
      <c r="M32" s="7">
        <v>579.14</v>
      </c>
      <c r="N32" s="7">
        <v>1052.83</v>
      </c>
      <c r="O32" s="56">
        <v>0.0302669</v>
      </c>
      <c r="P32" s="50">
        <f>C32*(1+O33)</f>
        <v>98.14678547599999</v>
      </c>
      <c r="R32"/>
    </row>
    <row r="33" spans="1:18" ht="15">
      <c r="A33" s="7">
        <v>2012</v>
      </c>
      <c r="B33" s="14">
        <v>1426.19</v>
      </c>
      <c r="C33" s="33">
        <v>96.82</v>
      </c>
      <c r="D33" s="27">
        <v>31.25</v>
      </c>
      <c r="E33" s="27">
        <f>G41*E41</f>
        <v>44.64930567414848</v>
      </c>
      <c r="F33" s="27"/>
      <c r="G33" s="27">
        <f t="shared" si="8"/>
        <v>75.89930567414848</v>
      </c>
      <c r="H33" s="27"/>
      <c r="I33" s="25">
        <f t="shared" si="9"/>
        <v>0.021911526514700005</v>
      </c>
      <c r="J33" s="25">
        <f t="shared" si="10"/>
        <v>0.03130670224454559</v>
      </c>
      <c r="K33" s="25">
        <f t="shared" si="11"/>
        <v>0.053218228759245596</v>
      </c>
      <c r="L33" s="25"/>
      <c r="M33" s="7">
        <v>613.14</v>
      </c>
      <c r="N33" s="7">
        <v>1092.37</v>
      </c>
      <c r="O33" s="56">
        <v>0.0176979</v>
      </c>
      <c r="P33" s="50">
        <f>C33</f>
        <v>96.82</v>
      </c>
      <c r="R33"/>
    </row>
    <row r="34" spans="1:18" ht="15">
      <c r="A34" s="7">
        <v>2013</v>
      </c>
      <c r="B34" s="14">
        <v>1848.36</v>
      </c>
      <c r="C34" s="33">
        <v>104.92</v>
      </c>
      <c r="D34" s="27">
        <v>34.9</v>
      </c>
      <c r="E34" s="27">
        <v>53.23</v>
      </c>
      <c r="F34" s="27"/>
      <c r="G34" s="27">
        <v>88.13</v>
      </c>
      <c r="H34" s="27"/>
      <c r="I34" s="25">
        <f t="shared" si="9"/>
        <v>0.01888160315090134</v>
      </c>
      <c r="J34" s="25">
        <f t="shared" si="10"/>
        <v>0.02879850245623147</v>
      </c>
      <c r="K34" s="25">
        <f t="shared" si="11"/>
        <v>0.04768010560713281</v>
      </c>
      <c r="L34" s="25"/>
      <c r="M34" s="7">
        <v>666.97</v>
      </c>
      <c r="N34" s="7">
        <v>1116.81</v>
      </c>
      <c r="O34" s="56">
        <v>0.0152791</v>
      </c>
      <c r="P34" s="50">
        <f>C34</f>
        <v>104.92</v>
      </c>
      <c r="R34"/>
    </row>
    <row r="35" spans="1:20" s="89" customFormat="1" ht="15">
      <c r="A35" s="93">
        <v>2014</v>
      </c>
      <c r="B35" s="94">
        <v>2058.9</v>
      </c>
      <c r="C35" s="95">
        <v>116.16</v>
      </c>
      <c r="D35" s="96">
        <v>39.55</v>
      </c>
      <c r="E35" s="96">
        <v>62.44</v>
      </c>
      <c r="F35" s="96">
        <v>9.58</v>
      </c>
      <c r="G35" s="96">
        <v>101.98</v>
      </c>
      <c r="H35" s="97">
        <f>G35-F35</f>
        <v>92.4</v>
      </c>
      <c r="I35" s="98">
        <f>D35/B35</f>
        <v>0.01920928651221526</v>
      </c>
      <c r="J35" s="98">
        <f>E35/B35</f>
        <v>0.030326873573267275</v>
      </c>
      <c r="K35" s="98">
        <f>I35+J35</f>
        <v>0.04953616008548253</v>
      </c>
      <c r="L35" s="98"/>
      <c r="M35" s="93">
        <v>715.84</v>
      </c>
      <c r="N35" s="93">
        <v>1165.8</v>
      </c>
      <c r="O35" s="101"/>
      <c r="P35" s="101"/>
      <c r="Q35" s="91" t="s">
        <v>134</v>
      </c>
      <c r="R35" s="88"/>
      <c r="T35" s="90"/>
    </row>
    <row r="36" spans="1:21" s="79" customFormat="1" ht="12.75">
      <c r="A36" s="99" t="s">
        <v>132</v>
      </c>
      <c r="B36" s="75"/>
      <c r="C36" s="75">
        <f>B57*B49</f>
        <v>111.59700674157305</v>
      </c>
      <c r="D36" s="75">
        <f>F39*E39</f>
        <v>40.85299961633324</v>
      </c>
      <c r="E36" s="75">
        <f>G39*E39</f>
        <v>60.72541890929023</v>
      </c>
      <c r="F36" s="75">
        <f>F37</f>
        <v>10.389856015346671</v>
      </c>
      <c r="G36" s="75">
        <f>D36+E36</f>
        <v>101.57841852562348</v>
      </c>
      <c r="H36" s="75">
        <f>G36-F36</f>
        <v>91.18856251027681</v>
      </c>
      <c r="I36" s="76"/>
      <c r="J36" s="76"/>
      <c r="K36" s="76"/>
      <c r="L36" s="76"/>
      <c r="M36" s="77">
        <v>693.22</v>
      </c>
      <c r="N36" s="77">
        <v>1165.8</v>
      </c>
      <c r="O36" s="102"/>
      <c r="P36" s="102"/>
      <c r="Q36" s="78" t="s">
        <v>39</v>
      </c>
      <c r="T36" s="80" t="s">
        <v>40</v>
      </c>
      <c r="U36" s="81">
        <v>40633</v>
      </c>
    </row>
    <row r="37" spans="1:21" s="85" customFormat="1" ht="12.75">
      <c r="A37" s="100" t="s">
        <v>22</v>
      </c>
      <c r="B37" s="82"/>
      <c r="C37" s="83">
        <f>B61*B49</f>
        <v>107.62579545628941</v>
      </c>
      <c r="D37" s="83">
        <f>C61*B49</f>
        <v>39.32843184434092</v>
      </c>
      <c r="E37" s="83">
        <f>D61*B49</f>
        <v>62.07507328035079</v>
      </c>
      <c r="F37" s="83">
        <f>E61*B49</f>
        <v>10.389856015346671</v>
      </c>
      <c r="G37" s="84">
        <f>D37+E37</f>
        <v>101.40350512469172</v>
      </c>
      <c r="H37" s="84">
        <f>G37-F37</f>
        <v>91.01364910934505</v>
      </c>
      <c r="Q37" s="86" t="s">
        <v>133</v>
      </c>
      <c r="T37" s="85" t="s">
        <v>40</v>
      </c>
      <c r="U37" s="87">
        <v>40633</v>
      </c>
    </row>
    <row r="38" spans="3:13" ht="12.75">
      <c r="C38" s="2" t="s">
        <v>30</v>
      </c>
      <c r="D38" s="2" t="s">
        <v>28</v>
      </c>
      <c r="E38" s="2" t="s">
        <v>29</v>
      </c>
      <c r="F38" s="2" t="s">
        <v>15</v>
      </c>
      <c r="G38" s="2" t="s">
        <v>11</v>
      </c>
      <c r="M38" s="50"/>
    </row>
    <row r="39" spans="2:7" ht="12.75">
      <c r="B39" s="120">
        <v>40542</v>
      </c>
      <c r="C39" s="7">
        <v>18245</v>
      </c>
      <c r="D39" s="7">
        <v>2058.9</v>
      </c>
      <c r="E39" s="7">
        <f aca="true" t="shared" si="12" ref="E39:E47">D39/C39</f>
        <v>0.11284735543984654</v>
      </c>
      <c r="F39" s="10">
        <f>C57</f>
        <v>362.02</v>
      </c>
      <c r="G39" s="10">
        <f>D57</f>
        <v>538.12</v>
      </c>
    </row>
    <row r="40" spans="2:7" ht="12.75">
      <c r="B40" s="7">
        <v>2013</v>
      </c>
      <c r="C40" s="7">
        <v>16495</v>
      </c>
      <c r="D40" s="7">
        <v>1848.36</v>
      </c>
      <c r="E40" s="7">
        <f t="shared" si="12"/>
        <v>0.11205577447711428</v>
      </c>
      <c r="F40" s="10">
        <f>70.86+76.67+79.26+84.98</f>
        <v>311.77000000000004</v>
      </c>
      <c r="G40" s="10">
        <f>99.97+118.05+128.16+129.41</f>
        <v>475.5899999999999</v>
      </c>
    </row>
    <row r="41" spans="2:7" ht="12.75">
      <c r="B41" s="7">
        <v>2012</v>
      </c>
      <c r="C41" s="7">
        <v>12742</v>
      </c>
      <c r="D41" s="7">
        <v>1426.19</v>
      </c>
      <c r="E41" s="7">
        <f t="shared" si="12"/>
        <v>0.11192826871762675</v>
      </c>
      <c r="F41" s="10">
        <f>64.07+67.31+69.48+79.83</f>
        <v>280.69</v>
      </c>
      <c r="G41" s="10">
        <f>84.29+111.75+103.72+99.15</f>
        <v>398.90999999999997</v>
      </c>
    </row>
    <row r="42" spans="2:7" ht="12.75">
      <c r="B42" s="7">
        <v>2011</v>
      </c>
      <c r="C42" s="7">
        <v>11385</v>
      </c>
      <c r="D42" s="7">
        <v>1257.6</v>
      </c>
      <c r="E42" s="7">
        <f t="shared" si="12"/>
        <v>0.11046113306982872</v>
      </c>
      <c r="F42" s="10">
        <f>56.08+59.03+59.2+65.89</f>
        <v>240.2</v>
      </c>
      <c r="G42" s="10">
        <f>89.84+109.24+118.41+87.59</f>
        <v>405.08000000000004</v>
      </c>
    </row>
    <row r="43" spans="2:7" ht="12.75">
      <c r="B43" s="7">
        <v>2010</v>
      </c>
      <c r="C43" s="7">
        <v>11430</v>
      </c>
      <c r="D43" s="10">
        <f>B31</f>
        <v>1257.64</v>
      </c>
      <c r="E43" s="7">
        <f t="shared" si="12"/>
        <v>0.11002974628171479</v>
      </c>
      <c r="F43" s="10">
        <v>205.83</v>
      </c>
      <c r="G43" s="10">
        <v>298.82</v>
      </c>
    </row>
    <row r="44" spans="2:11" ht="12.75">
      <c r="B44" s="7">
        <v>2009</v>
      </c>
      <c r="C44" s="7">
        <v>9928</v>
      </c>
      <c r="D44" s="10">
        <f>B30</f>
        <v>1115</v>
      </c>
      <c r="E44" s="7">
        <f t="shared" si="12"/>
        <v>0.11230862207896858</v>
      </c>
      <c r="F44" s="7">
        <f>51.73+47.63+47.21+49.04</f>
        <v>195.60999999999999</v>
      </c>
      <c r="G44" s="7">
        <f>30.78+24.2+34.85+47.82</f>
        <v>137.65</v>
      </c>
      <c r="K44"/>
    </row>
    <row r="45" spans="2:11" ht="12.75">
      <c r="B45" s="7">
        <v>2008</v>
      </c>
      <c r="C45" s="7">
        <v>7852</v>
      </c>
      <c r="D45" s="10">
        <f>B29</f>
        <v>903.25</v>
      </c>
      <c r="E45" s="7">
        <f t="shared" si="12"/>
        <v>0.11503438614365767</v>
      </c>
      <c r="F45" s="7">
        <f>62.19+61.44+61.94+61.72</f>
        <v>247.29</v>
      </c>
      <c r="G45" s="7">
        <f>48.12+89.71+87.91+113.9</f>
        <v>339.64</v>
      </c>
      <c r="K45"/>
    </row>
    <row r="46" spans="2:11" ht="12.75">
      <c r="B46" s="7">
        <v>2007</v>
      </c>
      <c r="C46" s="7">
        <v>12868</v>
      </c>
      <c r="D46" s="10">
        <f>B28</f>
        <v>1468.36</v>
      </c>
      <c r="E46" s="7">
        <f t="shared" si="12"/>
        <v>0.11410941871308672</v>
      </c>
      <c r="F46" s="7">
        <f>58.53+59.76+61.21+67.09</f>
        <v>246.59</v>
      </c>
      <c r="G46" s="7">
        <f>117.7+157.76+171.95+141.71</f>
        <v>589.12</v>
      </c>
      <c r="K46"/>
    </row>
    <row r="47" spans="2:11" ht="12.75">
      <c r="B47" s="18">
        <v>2006</v>
      </c>
      <c r="C47" s="18">
        <v>12729</v>
      </c>
      <c r="D47" s="20">
        <f>B27</f>
        <v>1418.3</v>
      </c>
      <c r="E47" s="7">
        <f t="shared" si="12"/>
        <v>0.11142273548589834</v>
      </c>
      <c r="F47" s="18"/>
      <c r="G47" s="18"/>
      <c r="K47"/>
    </row>
    <row r="48" spans="2:11" ht="13.5" thickBot="1">
      <c r="B48" s="18" t="s">
        <v>14</v>
      </c>
      <c r="C48" s="18"/>
      <c r="D48" s="18"/>
      <c r="E48" s="52"/>
      <c r="F48" s="24"/>
      <c r="G48" s="24"/>
      <c r="K48"/>
    </row>
    <row r="49" spans="1:11" ht="13.5" thickBot="1">
      <c r="A49" s="2" t="s">
        <v>27</v>
      </c>
      <c r="B49" s="19">
        <f>E39</f>
        <v>0.11284735543984654</v>
      </c>
      <c r="K49"/>
    </row>
    <row r="50" ht="12.75">
      <c r="K50"/>
    </row>
    <row r="51" spans="1:11" ht="12.75">
      <c r="A51" s="74" t="s">
        <v>129</v>
      </c>
      <c r="K51"/>
    </row>
    <row r="52" spans="1:11" ht="12.75">
      <c r="A52" s="15" t="s">
        <v>18</v>
      </c>
      <c r="B52" s="13" t="s">
        <v>41</v>
      </c>
      <c r="C52" s="13" t="s">
        <v>16</v>
      </c>
      <c r="D52" s="13" t="s">
        <v>17</v>
      </c>
      <c r="E52" s="7" t="s">
        <v>124</v>
      </c>
      <c r="K52"/>
    </row>
    <row r="53" spans="1:12" ht="12.75">
      <c r="A53" s="15" t="s">
        <v>22</v>
      </c>
      <c r="B53" s="13">
        <v>228.36</v>
      </c>
      <c r="C53" s="13">
        <v>93.55</v>
      </c>
      <c r="D53" s="13">
        <v>144.13</v>
      </c>
      <c r="E53" s="70"/>
      <c r="F53" s="21" t="s">
        <v>147</v>
      </c>
      <c r="L53"/>
    </row>
    <row r="54" spans="1:11" ht="12.75">
      <c r="A54" s="15" t="s">
        <v>21</v>
      </c>
      <c r="B54" s="13">
        <v>237.14</v>
      </c>
      <c r="C54" s="13">
        <v>92.8</v>
      </c>
      <c r="D54" s="13">
        <v>132.63</v>
      </c>
      <c r="K54"/>
    </row>
    <row r="55" spans="1:11" ht="12.75">
      <c r="A55" s="15" t="s">
        <v>20</v>
      </c>
      <c r="B55" s="13">
        <v>262.92</v>
      </c>
      <c r="C55" s="13">
        <v>89.02</v>
      </c>
      <c r="D55" s="13">
        <v>145.19</v>
      </c>
      <c r="K55"/>
    </row>
    <row r="56" spans="1:11" ht="12.75">
      <c r="A56" s="15" t="s">
        <v>19</v>
      </c>
      <c r="B56" s="13">
        <v>260.5</v>
      </c>
      <c r="C56" s="13">
        <v>86.65</v>
      </c>
      <c r="D56" s="13">
        <v>116.17</v>
      </c>
      <c r="K56"/>
    </row>
    <row r="57" spans="1:5" ht="12.75">
      <c r="A57" s="15" t="s">
        <v>23</v>
      </c>
      <c r="B57" s="13">
        <f>SUM(B53:B56)</f>
        <v>988.9200000000001</v>
      </c>
      <c r="C57" s="13">
        <f>SUM(C53:C56)</f>
        <v>362.02</v>
      </c>
      <c r="D57" s="14">
        <f>SUM(D53:D56)</f>
        <v>538.12</v>
      </c>
      <c r="E57" s="7">
        <v>84.87</v>
      </c>
    </row>
    <row r="59" ht="12.75">
      <c r="A59" s="73" t="s">
        <v>130</v>
      </c>
    </row>
    <row r="60" spans="1:5" ht="12.75">
      <c r="A60" s="71" t="s">
        <v>131</v>
      </c>
      <c r="B60" t="s">
        <v>41</v>
      </c>
      <c r="C60" t="s">
        <v>16</v>
      </c>
      <c r="D60" t="s">
        <v>17</v>
      </c>
      <c r="E60" t="s">
        <v>124</v>
      </c>
    </row>
    <row r="61" spans="1:5" ht="12.75">
      <c r="A61" s="72">
        <v>40724</v>
      </c>
      <c r="B61" s="2">
        <v>953.729</v>
      </c>
      <c r="C61" s="2">
        <v>348.51</v>
      </c>
      <c r="D61" s="50">
        <v>550.08</v>
      </c>
      <c r="E61" s="2">
        <v>92.07</v>
      </c>
    </row>
  </sheetData>
  <sheetProtection/>
  <dataValidations count="1">
    <dataValidation allowBlank="1" showInputMessage="1" showErrorMessage="1" sqref="C2:C20"/>
  </dataValidation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5" sqref="H5"/>
    </sheetView>
  </sheetViews>
  <sheetFormatPr defaultColWidth="11.00390625" defaultRowHeight="12.75"/>
  <cols>
    <col min="1" max="1" width="18.375" style="0" bestFit="1" customWidth="1"/>
    <col min="2" max="2" width="19.125" style="0" bestFit="1" customWidth="1"/>
    <col min="6" max="6" width="16.125" style="0" bestFit="1" customWidth="1"/>
    <col min="7" max="7" width="19.125" style="0" bestFit="1" customWidth="1"/>
  </cols>
  <sheetData>
    <row r="1" spans="1:9" ht="15.75">
      <c r="A1" s="123" t="s">
        <v>36</v>
      </c>
      <c r="B1" s="123"/>
      <c r="C1" s="123"/>
      <c r="D1" s="123"/>
      <c r="F1" s="123" t="s">
        <v>38</v>
      </c>
      <c r="G1" s="123"/>
      <c r="H1" s="123"/>
      <c r="I1" s="123"/>
    </row>
    <row r="2" spans="1:9" ht="12.75">
      <c r="A2" t="s">
        <v>6</v>
      </c>
      <c r="B2" t="s">
        <v>37</v>
      </c>
      <c r="D2" t="s">
        <v>35</v>
      </c>
      <c r="F2" t="s">
        <v>6</v>
      </c>
      <c r="G2" t="s">
        <v>37</v>
      </c>
      <c r="I2" t="s">
        <v>35</v>
      </c>
    </row>
    <row r="3" spans="1:9" ht="12.75">
      <c r="A3">
        <v>2014</v>
      </c>
      <c r="C3">
        <v>117.16</v>
      </c>
      <c r="D3" t="s">
        <v>87</v>
      </c>
      <c r="F3">
        <v>2014</v>
      </c>
      <c r="H3">
        <v>108.4</v>
      </c>
      <c r="I3" t="s">
        <v>149</v>
      </c>
    </row>
    <row r="4" spans="1:9" ht="12.75">
      <c r="A4">
        <v>2015</v>
      </c>
      <c r="B4" s="17">
        <f>C4/C3-1</f>
        <v>0.08458518265619652</v>
      </c>
      <c r="C4">
        <v>127.07</v>
      </c>
      <c r="D4" t="s">
        <v>87</v>
      </c>
      <c r="F4">
        <v>2015</v>
      </c>
      <c r="G4" s="17">
        <f>H4/H3-1</f>
        <v>0.13173431734317353</v>
      </c>
      <c r="H4">
        <v>122.68</v>
      </c>
      <c r="I4" t="s">
        <v>150</v>
      </c>
    </row>
    <row r="5" spans="1:9" ht="12.75">
      <c r="A5">
        <v>2016</v>
      </c>
      <c r="B5" s="17">
        <f>C5/C4-1</f>
        <v>0.11796647517116554</v>
      </c>
      <c r="C5">
        <v>142.06</v>
      </c>
      <c r="D5" t="s">
        <v>87</v>
      </c>
      <c r="F5">
        <v>2016</v>
      </c>
      <c r="G5" s="26">
        <f>H5/H4-1</f>
        <v>0.07156830779263124</v>
      </c>
      <c r="H5">
        <v>131.46</v>
      </c>
      <c r="I5" t="s">
        <v>151</v>
      </c>
    </row>
    <row r="6" spans="1:7" ht="12.75">
      <c r="A6">
        <v>2017</v>
      </c>
      <c r="B6" s="26">
        <f>B5-(B5-B8)/3</f>
        <v>0.08621098344744368</v>
      </c>
      <c r="F6">
        <v>2017</v>
      </c>
      <c r="G6" s="26">
        <f>G5-($G$5-$G$8)/3</f>
        <v>0.05527887186175416</v>
      </c>
    </row>
    <row r="7" spans="1:7" ht="12.75">
      <c r="A7">
        <v>2018</v>
      </c>
      <c r="B7" s="26">
        <f>B6-(B5-B8)/3</f>
        <v>0.054455491723721834</v>
      </c>
      <c r="F7">
        <v>2018</v>
      </c>
      <c r="G7" s="26">
        <f>G6-(G5-G8)/3</f>
        <v>0.03898943593087709</v>
      </c>
    </row>
    <row r="8" spans="1:7" ht="13.5" thickBot="1">
      <c r="A8">
        <v>2019</v>
      </c>
      <c r="B8" s="17">
        <f>'Intrinsic value calculator'!B9</f>
        <v>0.0227</v>
      </c>
      <c r="F8">
        <v>2019</v>
      </c>
      <c r="G8" s="17">
        <f>'Intrinsic value calculator'!B9</f>
        <v>0.0227</v>
      </c>
    </row>
    <row r="9" spans="1:7" ht="13.5" thickBot="1">
      <c r="A9" t="s">
        <v>26</v>
      </c>
      <c r="B9" s="51">
        <f>((1+B4)*(1+B5)*(1+B6)*(1+B7)*(1+B8))^(1/5)-1</f>
        <v>0.07269592113320456</v>
      </c>
      <c r="F9" t="s">
        <v>26</v>
      </c>
      <c r="G9" s="51">
        <f>((1+G4)*(1+G5)*(1+G6)*(1+G7)*(1+G8))^(1/5)-1</f>
        <v>0.06340376917814727</v>
      </c>
    </row>
    <row r="11" ht="12.75">
      <c r="A11" t="s">
        <v>89</v>
      </c>
    </row>
    <row r="12" ht="12.75">
      <c r="A12" s="53" t="s">
        <v>87</v>
      </c>
    </row>
    <row r="13" ht="12.75">
      <c r="A13" s="53" t="s">
        <v>86</v>
      </c>
    </row>
    <row r="15" ht="12.75">
      <c r="A15" t="s">
        <v>90</v>
      </c>
    </row>
    <row r="16" ht="12.75">
      <c r="A16" s="53" t="s">
        <v>91</v>
      </c>
    </row>
    <row r="17" ht="12.75">
      <c r="A17" s="53" t="s">
        <v>135</v>
      </c>
    </row>
  </sheetData>
  <sheetProtection/>
  <mergeCells count="2">
    <mergeCell ref="A1:D1"/>
    <mergeCell ref="F1:I1"/>
  </mergeCells>
  <hyperlinks>
    <hyperlink ref="A13" r:id="rId1" display="Factset"/>
    <hyperlink ref="A12" r:id="rId2" display="Thomson Reuters"/>
    <hyperlink ref="A16" r:id="rId3" display="S&amp;P"/>
    <hyperlink ref="A17" r:id="rId4" display="Ed Yardeni"/>
  </hyperlink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46">
      <selection activeCell="I87" sqref="I87"/>
    </sheetView>
  </sheetViews>
  <sheetFormatPr defaultColWidth="11.00390625" defaultRowHeight="12.75"/>
  <sheetData>
    <row r="1" spans="1:10" s="69" customFormat="1" ht="25.5">
      <c r="A1" s="69" t="s">
        <v>69</v>
      </c>
      <c r="B1" s="69" t="s">
        <v>70</v>
      </c>
      <c r="C1" s="69" t="s">
        <v>71</v>
      </c>
      <c r="D1" s="69" t="s">
        <v>116</v>
      </c>
      <c r="E1" s="34" t="s">
        <v>72</v>
      </c>
      <c r="F1" s="69" t="s">
        <v>73</v>
      </c>
      <c r="G1" s="69" t="s">
        <v>74</v>
      </c>
      <c r="H1" s="69" t="s">
        <v>75</v>
      </c>
      <c r="I1" s="69" t="s">
        <v>128</v>
      </c>
      <c r="J1" t="s">
        <v>117</v>
      </c>
    </row>
    <row r="2" spans="1:7" ht="12.75">
      <c r="A2" s="46">
        <v>38230</v>
      </c>
      <c r="B2">
        <v>1252</v>
      </c>
      <c r="C2" s="17">
        <v>0.0372</v>
      </c>
      <c r="E2" s="2"/>
      <c r="G2" s="17">
        <v>0.0422</v>
      </c>
    </row>
    <row r="3" spans="1:7" ht="12.75">
      <c r="A3" s="46">
        <v>38260</v>
      </c>
      <c r="B3">
        <v>1166</v>
      </c>
      <c r="C3" s="17">
        <v>0.0383</v>
      </c>
      <c r="E3" s="2"/>
      <c r="G3" s="17">
        <v>0.0451</v>
      </c>
    </row>
    <row r="4" spans="1:7" ht="12.75">
      <c r="A4" s="46">
        <v>38291</v>
      </c>
      <c r="B4">
        <v>969</v>
      </c>
      <c r="C4" s="17">
        <v>0.0395</v>
      </c>
      <c r="E4" s="2"/>
      <c r="G4" s="17">
        <v>0.059</v>
      </c>
    </row>
    <row r="5" spans="1:7" ht="12.75">
      <c r="A5" s="46">
        <v>38321</v>
      </c>
      <c r="B5">
        <v>896</v>
      </c>
      <c r="C5" s="17">
        <v>0.0292</v>
      </c>
      <c r="E5" s="2"/>
      <c r="G5" s="17">
        <v>0.066</v>
      </c>
    </row>
    <row r="6" spans="1:7" ht="12.75">
      <c r="A6" s="46">
        <v>38352</v>
      </c>
      <c r="B6">
        <v>903</v>
      </c>
      <c r="C6" s="17">
        <v>0.0221</v>
      </c>
      <c r="E6" s="2">
        <v>52.58</v>
      </c>
      <c r="F6" s="47">
        <v>0.04</v>
      </c>
      <c r="G6" s="17">
        <v>0.0643</v>
      </c>
    </row>
    <row r="7" spans="1:7" ht="12.75">
      <c r="A7" s="46">
        <v>38383</v>
      </c>
      <c r="B7">
        <v>826</v>
      </c>
      <c r="C7" s="17">
        <v>0.0287</v>
      </c>
      <c r="E7" s="2">
        <v>52.58</v>
      </c>
      <c r="F7" s="47">
        <v>0.04</v>
      </c>
      <c r="G7" s="17">
        <v>0.0687</v>
      </c>
    </row>
    <row r="8" spans="1:7" ht="12.75">
      <c r="A8" s="46">
        <v>38411</v>
      </c>
      <c r="B8">
        <v>735</v>
      </c>
      <c r="C8" s="17">
        <v>0.0302</v>
      </c>
      <c r="E8" s="2">
        <v>52.58</v>
      </c>
      <c r="F8" s="47">
        <v>0.04</v>
      </c>
      <c r="G8" s="17">
        <v>0.0768</v>
      </c>
    </row>
    <row r="9" spans="1:7" ht="12.75">
      <c r="A9" s="46">
        <v>38442</v>
      </c>
      <c r="B9">
        <v>798</v>
      </c>
      <c r="C9" s="17">
        <v>0.0271</v>
      </c>
      <c r="E9" s="2">
        <v>51.55</v>
      </c>
      <c r="F9" s="47">
        <v>0.04</v>
      </c>
      <c r="G9" s="17">
        <v>0.0701</v>
      </c>
    </row>
    <row r="10" spans="1:7" ht="12.75">
      <c r="A10" s="46">
        <v>38472</v>
      </c>
      <c r="B10">
        <v>873</v>
      </c>
      <c r="C10" s="17">
        <v>0.0316</v>
      </c>
      <c r="E10" s="2">
        <v>51.55</v>
      </c>
      <c r="F10" s="47">
        <v>0.04</v>
      </c>
      <c r="G10" s="17">
        <v>0.0632</v>
      </c>
    </row>
    <row r="11" spans="1:7" ht="12.75">
      <c r="A11" s="46">
        <v>38503</v>
      </c>
      <c r="B11">
        <v>919</v>
      </c>
      <c r="C11" s="17">
        <v>0.0347</v>
      </c>
      <c r="E11" s="2">
        <v>51.55</v>
      </c>
      <c r="F11" s="47">
        <v>0.04</v>
      </c>
      <c r="G11" s="17">
        <v>0.0594</v>
      </c>
    </row>
    <row r="12" spans="1:7" ht="12.75">
      <c r="A12" s="46">
        <v>38533</v>
      </c>
      <c r="B12">
        <v>919</v>
      </c>
      <c r="C12" s="17">
        <v>0.0353</v>
      </c>
      <c r="E12" s="2">
        <v>50.95</v>
      </c>
      <c r="F12" s="47">
        <v>0.04</v>
      </c>
      <c r="G12" s="17">
        <v>0.0586</v>
      </c>
    </row>
    <row r="13" spans="1:7" ht="12.75">
      <c r="A13" s="46">
        <v>38564</v>
      </c>
      <c r="B13">
        <v>987</v>
      </c>
      <c r="C13" s="17">
        <v>0.0352</v>
      </c>
      <c r="E13" s="2">
        <v>50.95</v>
      </c>
      <c r="F13" s="47">
        <v>0.04</v>
      </c>
      <c r="G13" s="17">
        <v>0.0546</v>
      </c>
    </row>
    <row r="14" spans="1:7" ht="12.75">
      <c r="A14" s="46">
        <v>38595</v>
      </c>
      <c r="B14">
        <v>1021</v>
      </c>
      <c r="C14" s="17">
        <v>0.034</v>
      </c>
      <c r="E14" s="2">
        <v>50.95</v>
      </c>
      <c r="F14" s="47">
        <v>0.04</v>
      </c>
      <c r="G14" s="17">
        <v>0.053</v>
      </c>
    </row>
    <row r="15" spans="1:7" ht="12.75">
      <c r="A15" s="46">
        <v>38625</v>
      </c>
      <c r="B15">
        <v>1057</v>
      </c>
      <c r="C15" s="17">
        <v>0.033</v>
      </c>
      <c r="E15" s="2">
        <v>48.52</v>
      </c>
      <c r="F15" s="47">
        <v>0.04</v>
      </c>
      <c r="G15" s="17">
        <v>0.0486</v>
      </c>
    </row>
    <row r="16" spans="1:7" ht="12.75">
      <c r="A16" s="46">
        <v>38656</v>
      </c>
      <c r="B16">
        <v>1036</v>
      </c>
      <c r="C16" s="17">
        <v>0.0339</v>
      </c>
      <c r="E16" s="2">
        <v>48.52</v>
      </c>
      <c r="F16" s="47">
        <v>0.04</v>
      </c>
      <c r="G16" s="17">
        <v>0.0497</v>
      </c>
    </row>
    <row r="17" spans="1:7" ht="12.75">
      <c r="A17" s="46">
        <v>38686</v>
      </c>
      <c r="B17">
        <v>1096</v>
      </c>
      <c r="C17" s="17">
        <v>0.0324</v>
      </c>
      <c r="E17" s="2">
        <v>48.52</v>
      </c>
      <c r="F17" s="17">
        <v>0.04</v>
      </c>
      <c r="G17" s="17">
        <v>0.0473</v>
      </c>
    </row>
    <row r="18" spans="1:7" ht="12.75">
      <c r="A18" s="46">
        <v>38717</v>
      </c>
      <c r="B18">
        <v>1115</v>
      </c>
      <c r="C18" s="17">
        <v>0.0384</v>
      </c>
      <c r="E18" s="2">
        <v>40.38</v>
      </c>
      <c r="F18" s="17">
        <v>0.0721</v>
      </c>
      <c r="G18" s="17">
        <v>0.0436</v>
      </c>
    </row>
    <row r="19" spans="1:7" ht="12.75">
      <c r="A19" s="46">
        <v>38748</v>
      </c>
      <c r="B19">
        <v>1074</v>
      </c>
      <c r="C19" s="17">
        <v>0.0358</v>
      </c>
      <c r="E19" s="2">
        <v>40.38</v>
      </c>
      <c r="F19" s="17">
        <v>0.0721</v>
      </c>
      <c r="G19" s="17">
        <v>0.0456</v>
      </c>
    </row>
    <row r="20" spans="1:7" ht="12.75">
      <c r="A20" s="46">
        <v>38776</v>
      </c>
      <c r="B20">
        <v>1104</v>
      </c>
      <c r="C20" s="17">
        <v>0.0361</v>
      </c>
      <c r="E20" s="2">
        <v>40.38</v>
      </c>
      <c r="F20" s="17">
        <v>0.0721</v>
      </c>
      <c r="G20" s="17">
        <v>0.0444</v>
      </c>
    </row>
    <row r="21" spans="1:7" ht="12.75">
      <c r="A21" s="46">
        <v>38807</v>
      </c>
      <c r="B21">
        <v>1169</v>
      </c>
      <c r="C21" s="17">
        <v>0.0383</v>
      </c>
      <c r="E21" s="2">
        <v>40.34</v>
      </c>
      <c r="F21" s="17">
        <v>0.0721</v>
      </c>
      <c r="G21" s="17">
        <v>0.0416</v>
      </c>
    </row>
    <row r="22" spans="1:7" ht="12.75">
      <c r="A22" s="46">
        <v>38837</v>
      </c>
      <c r="B22">
        <v>1187</v>
      </c>
      <c r="C22" s="17">
        <v>0.0365</v>
      </c>
      <c r="E22" s="2">
        <v>40.34</v>
      </c>
      <c r="F22" s="17">
        <v>0.0721</v>
      </c>
      <c r="G22" s="17">
        <v>0.0454</v>
      </c>
    </row>
    <row r="23" spans="1:7" ht="12.75">
      <c r="A23" s="46">
        <v>38868</v>
      </c>
      <c r="B23">
        <v>1089</v>
      </c>
      <c r="C23" s="17">
        <v>0.033</v>
      </c>
      <c r="E23" s="2">
        <v>40.34</v>
      </c>
      <c r="F23" s="17">
        <v>0.0721</v>
      </c>
      <c r="G23" s="17">
        <v>0.0479</v>
      </c>
    </row>
    <row r="24" spans="1:7" ht="12.75">
      <c r="A24" s="46">
        <v>38898</v>
      </c>
      <c r="B24">
        <v>1031</v>
      </c>
      <c r="C24" s="17">
        <v>0.0296</v>
      </c>
      <c r="E24" s="2">
        <v>42.44</v>
      </c>
      <c r="F24" s="17">
        <v>0.0721</v>
      </c>
      <c r="G24" s="17">
        <v>0.051</v>
      </c>
    </row>
    <row r="25" spans="1:7" ht="12.75">
      <c r="A25" s="46">
        <v>38929</v>
      </c>
      <c r="B25">
        <v>1106</v>
      </c>
      <c r="C25" s="17">
        <v>0.0291</v>
      </c>
      <c r="E25" s="2">
        <v>42.44</v>
      </c>
      <c r="F25" s="17">
        <v>0.0721</v>
      </c>
      <c r="G25" s="17">
        <v>0.0478</v>
      </c>
    </row>
    <row r="26" spans="1:7" ht="12.75">
      <c r="A26" s="46">
        <v>38960</v>
      </c>
      <c r="B26">
        <v>1049</v>
      </c>
      <c r="C26" s="17">
        <v>0.0247</v>
      </c>
      <c r="E26" s="2">
        <v>42.44</v>
      </c>
      <c r="F26" s="17">
        <v>0.0721</v>
      </c>
      <c r="G26" s="17">
        <v>0.051</v>
      </c>
    </row>
    <row r="27" spans="1:7" ht="12.75">
      <c r="A27" s="46">
        <v>38990</v>
      </c>
      <c r="B27">
        <v>1141</v>
      </c>
      <c r="C27" s="17">
        <v>0.025099999999999997</v>
      </c>
      <c r="E27" s="2">
        <v>48.2</v>
      </c>
      <c r="F27" s="17">
        <v>0.0721</v>
      </c>
      <c r="G27" s="17">
        <v>0.0531</v>
      </c>
    </row>
    <row r="28" spans="1:7" ht="12.75">
      <c r="A28" s="46">
        <v>39021</v>
      </c>
      <c r="B28">
        <v>1183</v>
      </c>
      <c r="C28" s="17">
        <v>0.026000000000000002</v>
      </c>
      <c r="E28" s="2">
        <v>48.2</v>
      </c>
      <c r="F28" s="17">
        <v>0.0721</v>
      </c>
      <c r="G28" s="17">
        <v>0.0511</v>
      </c>
    </row>
    <row r="29" spans="1:7" ht="12.75">
      <c r="A29" s="46">
        <v>39051</v>
      </c>
      <c r="B29">
        <v>1181</v>
      </c>
      <c r="C29" s="17">
        <v>0.028</v>
      </c>
      <c r="E29" s="2">
        <f>E28</f>
        <v>48.2</v>
      </c>
      <c r="F29" s="17">
        <v>0.0721</v>
      </c>
      <c r="G29" s="17">
        <v>0.0508</v>
      </c>
    </row>
    <row r="30" spans="1:7" ht="12.75">
      <c r="A30" s="46">
        <v>39082</v>
      </c>
      <c r="B30">
        <v>1258</v>
      </c>
      <c r="C30" s="17">
        <v>0.0329</v>
      </c>
      <c r="E30" s="2">
        <v>53.9645</v>
      </c>
      <c r="F30" s="17">
        <v>0.0695</v>
      </c>
      <c r="G30" s="17">
        <v>0.052</v>
      </c>
    </row>
    <row r="31" spans="1:7" ht="12.75">
      <c r="A31" s="46">
        <v>39113</v>
      </c>
      <c r="B31">
        <v>1286</v>
      </c>
      <c r="C31" s="17">
        <v>0.0338</v>
      </c>
      <c r="E31" s="2">
        <f>E30</f>
        <v>53.9645</v>
      </c>
      <c r="F31" s="17">
        <v>0.0695</v>
      </c>
      <c r="G31" s="17">
        <v>0.0507</v>
      </c>
    </row>
    <row r="32" spans="1:7" ht="12.75">
      <c r="A32" s="46">
        <v>39141</v>
      </c>
      <c r="B32">
        <v>1327</v>
      </c>
      <c r="C32" s="17">
        <v>0.0342</v>
      </c>
      <c r="E32" s="2">
        <f>E31</f>
        <v>53.9645</v>
      </c>
      <c r="F32" s="17">
        <f>F31</f>
        <v>0.0695</v>
      </c>
      <c r="G32" s="17">
        <v>0.049</v>
      </c>
    </row>
    <row r="33" spans="1:7" ht="12.75">
      <c r="A33" s="46">
        <v>39172</v>
      </c>
      <c r="B33">
        <v>1326</v>
      </c>
      <c r="C33" s="17">
        <v>0.0347</v>
      </c>
      <c r="E33" s="2">
        <v>58.54</v>
      </c>
      <c r="F33" s="17">
        <v>0.0695</v>
      </c>
      <c r="G33" s="17">
        <v>0.053099999999999994</v>
      </c>
    </row>
    <row r="34" spans="1:7" ht="12.75">
      <c r="A34" s="46">
        <v>39202</v>
      </c>
      <c r="B34">
        <v>1364</v>
      </c>
      <c r="C34" s="17">
        <v>0.0329</v>
      </c>
      <c r="E34" s="2">
        <v>58.15</v>
      </c>
      <c r="F34" s="17">
        <v>0.0695</v>
      </c>
      <c r="G34" s="17">
        <v>0.0516</v>
      </c>
    </row>
    <row r="35" spans="1:7" ht="12.75">
      <c r="A35" s="46">
        <v>39233</v>
      </c>
      <c r="B35">
        <v>1345</v>
      </c>
      <c r="C35" s="17">
        <v>0.030600000000000002</v>
      </c>
      <c r="E35" s="2">
        <v>58.15</v>
      </c>
      <c r="F35" s="17">
        <v>0.0695</v>
      </c>
      <c r="G35" s="17">
        <v>0.0527</v>
      </c>
    </row>
    <row r="36" spans="1:7" ht="12.75">
      <c r="A36" s="46">
        <v>39263</v>
      </c>
      <c r="B36">
        <v>1321</v>
      </c>
      <c r="C36" s="17">
        <v>0.0317</v>
      </c>
      <c r="E36" s="2">
        <v>62.24</v>
      </c>
      <c r="F36" s="17">
        <v>0.0695</v>
      </c>
      <c r="G36" s="17">
        <v>0.0572</v>
      </c>
    </row>
    <row r="37" spans="1:7" ht="12.75">
      <c r="A37" s="46">
        <v>39294</v>
      </c>
      <c r="B37">
        <v>1292</v>
      </c>
      <c r="C37" s="17">
        <v>0.027999999999999997</v>
      </c>
      <c r="E37" s="2">
        <v>62.24</v>
      </c>
      <c r="F37" s="17">
        <v>0.0695</v>
      </c>
      <c r="G37" s="17">
        <v>0.0592</v>
      </c>
    </row>
    <row r="38" spans="1:7" ht="12.75">
      <c r="A38" s="46">
        <v>39325</v>
      </c>
      <c r="B38">
        <v>1219</v>
      </c>
      <c r="C38" s="17">
        <v>0.0223</v>
      </c>
      <c r="E38" s="2">
        <v>62.24</v>
      </c>
      <c r="F38" s="17">
        <v>0.0695</v>
      </c>
      <c r="G38" s="17">
        <v>0.0639</v>
      </c>
    </row>
    <row r="39" spans="1:7" ht="12.75">
      <c r="A39" s="46">
        <v>39355</v>
      </c>
      <c r="B39">
        <v>1131</v>
      </c>
      <c r="C39" s="17">
        <v>0.0192</v>
      </c>
      <c r="E39" s="2">
        <v>68.65</v>
      </c>
      <c r="F39" s="17">
        <v>0.0695</v>
      </c>
      <c r="G39" s="17">
        <v>0.0764</v>
      </c>
    </row>
    <row r="40" spans="1:7" ht="12.75">
      <c r="A40" s="46">
        <v>39386</v>
      </c>
      <c r="B40">
        <v>1253</v>
      </c>
      <c r="C40" s="17">
        <v>0.0205</v>
      </c>
      <c r="E40" s="2">
        <v>68.65</v>
      </c>
      <c r="F40" s="17">
        <v>0.055</v>
      </c>
      <c r="G40" s="17">
        <v>0.0649</v>
      </c>
    </row>
    <row r="41" spans="1:7" ht="12.75">
      <c r="A41" s="46">
        <v>39416</v>
      </c>
      <c r="B41">
        <v>1247</v>
      </c>
      <c r="C41" s="17">
        <v>0.0207</v>
      </c>
      <c r="E41" s="2">
        <v>68.65</v>
      </c>
      <c r="F41" s="17">
        <v>0.055</v>
      </c>
      <c r="G41" s="17">
        <v>0.0651</v>
      </c>
    </row>
    <row r="42" spans="1:10" ht="12.75">
      <c r="A42" s="46">
        <v>39447</v>
      </c>
      <c r="B42">
        <v>1258</v>
      </c>
      <c r="C42" s="17">
        <v>0.0187</v>
      </c>
      <c r="D42">
        <v>59.01</v>
      </c>
      <c r="E42" s="2">
        <v>72.23</v>
      </c>
      <c r="F42" s="17">
        <v>0.0718</v>
      </c>
      <c r="G42" s="17">
        <v>0.0732</v>
      </c>
      <c r="H42" s="17">
        <v>0.0601</v>
      </c>
      <c r="J42" t="s">
        <v>118</v>
      </c>
    </row>
    <row r="43" spans="1:8" ht="12.75">
      <c r="A43" s="46">
        <v>39478</v>
      </c>
      <c r="B43">
        <v>1312</v>
      </c>
      <c r="C43" s="17">
        <v>0.0181</v>
      </c>
      <c r="D43">
        <v>59.01</v>
      </c>
      <c r="E43" s="2">
        <v>72.23</v>
      </c>
      <c r="F43" s="17">
        <v>0.0718</v>
      </c>
      <c r="G43" s="17">
        <v>0.0704</v>
      </c>
      <c r="H43" s="17">
        <v>0.0578</v>
      </c>
    </row>
    <row r="44" spans="1:8" ht="12.75">
      <c r="A44" s="46">
        <v>39507</v>
      </c>
      <c r="B44">
        <v>1366</v>
      </c>
      <c r="C44" s="17">
        <v>0.019799999999999998</v>
      </c>
      <c r="D44">
        <v>59.01</v>
      </c>
      <c r="E44" s="2">
        <v>72.23</v>
      </c>
      <c r="F44" s="17">
        <v>0.0718</v>
      </c>
      <c r="G44" s="17">
        <v>0.0673</v>
      </c>
      <c r="H44" s="17">
        <v>0.0552</v>
      </c>
    </row>
    <row r="45" spans="1:8" ht="12.75">
      <c r="A45" s="46">
        <v>39538</v>
      </c>
      <c r="B45">
        <v>1408</v>
      </c>
      <c r="C45" s="17">
        <v>0.022099999999999998</v>
      </c>
      <c r="D45">
        <v>66.29</v>
      </c>
      <c r="E45" s="2">
        <v>74.07</v>
      </c>
      <c r="F45" s="17">
        <v>0.0718</v>
      </c>
      <c r="G45" s="17">
        <v>0.0664</v>
      </c>
      <c r="H45" s="17">
        <v>0.0596</v>
      </c>
    </row>
    <row r="46" spans="1:8" ht="12.75">
      <c r="A46" s="46">
        <v>39568</v>
      </c>
      <c r="B46">
        <v>1398</v>
      </c>
      <c r="C46" s="17">
        <v>0.0192</v>
      </c>
      <c r="D46">
        <v>66.29</v>
      </c>
      <c r="E46" s="2">
        <v>74.07</v>
      </c>
      <c r="F46" s="17">
        <v>0.0718</v>
      </c>
      <c r="G46" s="17">
        <v>0.0676</v>
      </c>
      <c r="H46" s="17">
        <v>0.0606</v>
      </c>
    </row>
    <row r="47" spans="1:8" ht="12.75">
      <c r="A47" s="46">
        <v>39599</v>
      </c>
      <c r="B47">
        <v>1310</v>
      </c>
      <c r="C47" s="17">
        <v>0.0155</v>
      </c>
      <c r="D47">
        <v>66.29</v>
      </c>
      <c r="E47" s="2">
        <v>74.07</v>
      </c>
      <c r="F47" s="17">
        <v>0.0718</v>
      </c>
      <c r="G47" s="17">
        <v>0.0728</v>
      </c>
      <c r="H47" s="17">
        <v>0.0654</v>
      </c>
    </row>
    <row r="48" spans="1:10" ht="12.75">
      <c r="A48" s="46">
        <v>39629</v>
      </c>
      <c r="B48">
        <v>1362</v>
      </c>
      <c r="C48" s="17">
        <v>0.0165</v>
      </c>
      <c r="D48">
        <v>64.06</v>
      </c>
      <c r="E48" s="2">
        <v>71.55</v>
      </c>
      <c r="F48" s="17">
        <v>0.0656</v>
      </c>
      <c r="G48" s="17">
        <v>0.0659</v>
      </c>
      <c r="H48" s="17">
        <v>0.0591</v>
      </c>
      <c r="J48" t="s">
        <v>119</v>
      </c>
    </row>
    <row r="49" spans="1:8" ht="12.75">
      <c r="A49" s="46">
        <v>39660</v>
      </c>
      <c r="B49">
        <v>1379</v>
      </c>
      <c r="C49" s="17">
        <v>0.0147</v>
      </c>
      <c r="D49">
        <v>64.06</v>
      </c>
      <c r="E49" s="2">
        <v>71.55</v>
      </c>
      <c r="F49" s="17">
        <v>0.0656</v>
      </c>
      <c r="G49" s="17">
        <v>0.0655</v>
      </c>
      <c r="H49" s="17">
        <v>0.0588</v>
      </c>
    </row>
    <row r="50" spans="1:8" ht="12.75">
      <c r="A50" s="46">
        <v>39691</v>
      </c>
      <c r="B50">
        <v>1407</v>
      </c>
      <c r="C50" s="17">
        <v>0.0155</v>
      </c>
      <c r="D50">
        <v>64.06</v>
      </c>
      <c r="E50" s="2">
        <v>71.55</v>
      </c>
      <c r="F50" s="17">
        <v>0.0656</v>
      </c>
      <c r="G50" s="17">
        <v>0.0641</v>
      </c>
      <c r="H50" s="17">
        <v>0.0575</v>
      </c>
    </row>
    <row r="51" spans="1:10" ht="12.75">
      <c r="A51" s="46">
        <v>39721</v>
      </c>
      <c r="B51">
        <v>1441</v>
      </c>
      <c r="C51" s="17">
        <v>0.0162</v>
      </c>
      <c r="D51">
        <v>67.74</v>
      </c>
      <c r="E51" s="2">
        <v>72.74</v>
      </c>
      <c r="F51" s="17">
        <v>0.0656</v>
      </c>
      <c r="G51" s="17">
        <v>0.0635</v>
      </c>
      <c r="H51" s="17">
        <v>0.0592</v>
      </c>
      <c r="J51" t="s">
        <v>120</v>
      </c>
    </row>
    <row r="52" spans="1:8" ht="12.75">
      <c r="A52" s="46">
        <v>39752</v>
      </c>
      <c r="B52">
        <v>1412</v>
      </c>
      <c r="C52" s="17">
        <v>0.0175</v>
      </c>
      <c r="D52">
        <v>67.74</v>
      </c>
      <c r="E52" s="2">
        <v>72.74</v>
      </c>
      <c r="F52" s="17">
        <v>0.0656</v>
      </c>
      <c r="G52" s="17">
        <v>0.0644</v>
      </c>
      <c r="H52" s="17">
        <v>0.0601</v>
      </c>
    </row>
    <row r="53" spans="1:8" ht="12.75">
      <c r="A53" s="46">
        <v>39782</v>
      </c>
      <c r="B53">
        <v>1416</v>
      </c>
      <c r="C53" s="17">
        <v>0.0162</v>
      </c>
      <c r="D53">
        <v>67.74</v>
      </c>
      <c r="E53" s="2">
        <v>72.74</v>
      </c>
      <c r="F53" s="17">
        <v>0.0656</v>
      </c>
      <c r="G53" s="17">
        <v>0.0645</v>
      </c>
      <c r="H53" s="17">
        <v>0.0602</v>
      </c>
    </row>
    <row r="54" spans="1:10" ht="12.75">
      <c r="A54" s="46">
        <v>39813</v>
      </c>
      <c r="B54">
        <v>1426</v>
      </c>
      <c r="C54" s="17">
        <v>0.0176</v>
      </c>
      <c r="D54">
        <v>69.46</v>
      </c>
      <c r="E54" s="2">
        <v>72.25</v>
      </c>
      <c r="F54" s="17">
        <v>0.0527</v>
      </c>
      <c r="G54" s="17">
        <v>0.06</v>
      </c>
      <c r="H54" s="17">
        <v>0.0578</v>
      </c>
      <c r="J54" t="s">
        <v>121</v>
      </c>
    </row>
    <row r="55" spans="1:8" ht="12.75">
      <c r="A55" s="46">
        <v>39844</v>
      </c>
      <c r="B55">
        <v>1498</v>
      </c>
      <c r="C55" s="17">
        <v>0.02</v>
      </c>
      <c r="D55">
        <v>69.46</v>
      </c>
      <c r="E55" s="2">
        <v>72.25</v>
      </c>
      <c r="F55" s="17">
        <v>0.0527</v>
      </c>
      <c r="G55" s="17">
        <v>0.0567</v>
      </c>
      <c r="H55" s="17">
        <v>0.0546</v>
      </c>
    </row>
    <row r="56" spans="1:8" ht="12.75">
      <c r="A56" s="46">
        <v>39872</v>
      </c>
      <c r="B56" s="48">
        <v>1514.68</v>
      </c>
      <c r="C56" s="17">
        <v>0.0188</v>
      </c>
      <c r="D56">
        <v>69.46</v>
      </c>
      <c r="E56" s="2">
        <v>72.25</v>
      </c>
      <c r="F56" s="17">
        <v>0.0532</v>
      </c>
      <c r="G56" s="17">
        <v>0.0565</v>
      </c>
      <c r="H56" s="17">
        <v>0.0543</v>
      </c>
    </row>
    <row r="57" spans="1:10" ht="12.75">
      <c r="A57" s="46">
        <v>39903</v>
      </c>
      <c r="B57">
        <v>1569</v>
      </c>
      <c r="C57" s="17">
        <v>0.0185</v>
      </c>
      <c r="D57">
        <v>76.76</v>
      </c>
      <c r="E57" s="2">
        <v>75.31</v>
      </c>
      <c r="F57" s="17">
        <v>0.0531</v>
      </c>
      <c r="G57" s="17">
        <v>0.0568</v>
      </c>
      <c r="H57" s="17">
        <v>0.0579</v>
      </c>
      <c r="J57" t="s">
        <v>120</v>
      </c>
    </row>
    <row r="58" spans="1:8" ht="12.75">
      <c r="A58" s="46">
        <v>39933</v>
      </c>
      <c r="B58">
        <v>1598</v>
      </c>
      <c r="C58" s="17">
        <v>0.0165</v>
      </c>
      <c r="D58">
        <v>76.76</v>
      </c>
      <c r="E58" s="2">
        <v>75.31</v>
      </c>
      <c r="F58" s="17">
        <v>0.0523</v>
      </c>
      <c r="G58" s="17">
        <v>0.056</v>
      </c>
      <c r="H58" s="17">
        <v>0.0571</v>
      </c>
    </row>
    <row r="59" spans="1:8" ht="12.75">
      <c r="A59" s="46">
        <v>39964</v>
      </c>
      <c r="B59">
        <v>1631</v>
      </c>
      <c r="C59" s="17">
        <v>0.021400000000000002</v>
      </c>
      <c r="D59">
        <v>76.76</v>
      </c>
      <c r="E59" s="2">
        <v>75.31</v>
      </c>
      <c r="F59" s="17">
        <v>0.0543</v>
      </c>
      <c r="G59" s="17">
        <v>0.0545</v>
      </c>
      <c r="H59" s="17">
        <v>0.0555</v>
      </c>
    </row>
    <row r="60" spans="1:10" ht="12.75">
      <c r="A60" s="46">
        <v>39994</v>
      </c>
      <c r="B60">
        <v>1606</v>
      </c>
      <c r="C60" s="17">
        <v>0.024900000000000002</v>
      </c>
      <c r="D60">
        <v>78.66</v>
      </c>
      <c r="E60" s="2">
        <v>78.58</v>
      </c>
      <c r="F60" s="17">
        <v>0.0557</v>
      </c>
      <c r="G60" s="17">
        <v>0.057300000000000004</v>
      </c>
      <c r="H60" s="17">
        <v>0.0574</v>
      </c>
      <c r="J60" t="s">
        <v>120</v>
      </c>
    </row>
    <row r="61" spans="1:8" ht="12.75">
      <c r="A61" s="46">
        <v>40025</v>
      </c>
      <c r="B61">
        <v>1686</v>
      </c>
      <c r="C61" s="17">
        <v>0.025699999999999997</v>
      </c>
      <c r="D61">
        <v>78.66</v>
      </c>
      <c r="E61" s="2">
        <v>78.58</v>
      </c>
      <c r="F61" s="17">
        <v>0.055999999999999994</v>
      </c>
      <c r="G61" s="17">
        <v>0.0546</v>
      </c>
      <c r="H61" s="17">
        <v>0.0546</v>
      </c>
    </row>
    <row r="62" spans="1:8" ht="12.75">
      <c r="A62" s="46">
        <v>40056</v>
      </c>
      <c r="B62">
        <v>1633</v>
      </c>
      <c r="C62" s="17">
        <v>0.0279</v>
      </c>
      <c r="D62">
        <v>78.66</v>
      </c>
      <c r="E62" s="2">
        <v>78.58</v>
      </c>
      <c r="F62" s="17">
        <v>0.0569</v>
      </c>
      <c r="G62" s="17">
        <v>0.0562</v>
      </c>
      <c r="H62" s="17">
        <v>0.0561</v>
      </c>
    </row>
    <row r="63" spans="1:10" ht="12.75">
      <c r="A63" s="46">
        <v>40086</v>
      </c>
      <c r="B63">
        <v>1682</v>
      </c>
      <c r="C63" s="17">
        <v>0.026099999999999998</v>
      </c>
      <c r="D63">
        <v>82.35</v>
      </c>
      <c r="E63" s="2">
        <v>80.33</v>
      </c>
      <c r="F63" s="17">
        <v>0.0562</v>
      </c>
      <c r="G63" s="17">
        <v>0.0559</v>
      </c>
      <c r="H63" s="17">
        <v>0.057300000000000004</v>
      </c>
      <c r="J63" t="s">
        <v>120</v>
      </c>
    </row>
    <row r="64" spans="1:8" ht="12.75">
      <c r="A64" s="46">
        <v>40117</v>
      </c>
      <c r="B64">
        <v>1757</v>
      </c>
      <c r="C64" s="17">
        <v>0.0255</v>
      </c>
      <c r="D64">
        <v>82.35</v>
      </c>
      <c r="E64" s="2">
        <v>80.33</v>
      </c>
      <c r="F64" s="17">
        <v>0.0559</v>
      </c>
      <c r="G64" s="17">
        <v>0.0536</v>
      </c>
      <c r="H64" s="17">
        <v>0.0549</v>
      </c>
    </row>
    <row r="65" spans="1:8" ht="12.75">
      <c r="A65" s="46">
        <v>40147</v>
      </c>
      <c r="B65">
        <v>1806</v>
      </c>
      <c r="C65" s="17">
        <v>0.0275</v>
      </c>
      <c r="D65">
        <v>82.35</v>
      </c>
      <c r="E65" s="2">
        <v>80.33</v>
      </c>
      <c r="F65" s="17">
        <v>0.0567</v>
      </c>
      <c r="G65" s="17">
        <v>0.0519</v>
      </c>
      <c r="H65" s="17">
        <v>0.053200000000000004</v>
      </c>
    </row>
    <row r="66" spans="1:10" ht="12.75">
      <c r="A66" s="46">
        <v>40178</v>
      </c>
      <c r="B66">
        <v>1848</v>
      </c>
      <c r="C66" s="17">
        <v>0.0304</v>
      </c>
      <c r="D66">
        <v>90.52</v>
      </c>
      <c r="E66" s="2">
        <v>84.16</v>
      </c>
      <c r="F66" s="17">
        <v>0.0428</v>
      </c>
      <c r="G66" s="17">
        <v>0.0496</v>
      </c>
      <c r="H66" s="17">
        <v>0.0533</v>
      </c>
      <c r="J66" t="s">
        <v>122</v>
      </c>
    </row>
    <row r="67" spans="1:8" ht="12.75">
      <c r="A67" s="46">
        <v>40209</v>
      </c>
      <c r="B67">
        <v>1783</v>
      </c>
      <c r="C67" s="17">
        <v>0.0265</v>
      </c>
      <c r="D67">
        <v>90.52</v>
      </c>
      <c r="E67" s="2">
        <v>84.16</v>
      </c>
      <c r="F67" s="17">
        <v>0.0413</v>
      </c>
      <c r="G67" s="17">
        <v>0.051699999999999996</v>
      </c>
      <c r="H67" s="17">
        <v>0.0556</v>
      </c>
    </row>
    <row r="68" spans="1:8" ht="12.75">
      <c r="A68" s="46">
        <v>40237</v>
      </c>
      <c r="B68">
        <v>1859</v>
      </c>
      <c r="C68" s="17">
        <v>0.026600000000000002</v>
      </c>
      <c r="D68">
        <v>90.52</v>
      </c>
      <c r="E68" s="2">
        <v>84.16</v>
      </c>
      <c r="F68" s="17">
        <v>0.0413</v>
      </c>
      <c r="G68" s="17">
        <v>0.0496</v>
      </c>
      <c r="H68" s="17">
        <v>0.0533</v>
      </c>
    </row>
    <row r="69" spans="1:10" ht="12.75">
      <c r="A69" s="46">
        <v>40268</v>
      </c>
      <c r="B69">
        <v>1874</v>
      </c>
      <c r="C69" s="17">
        <v>0.027200000000000002</v>
      </c>
      <c r="D69">
        <v>95.39</v>
      </c>
      <c r="E69" s="2">
        <v>88.13</v>
      </c>
      <c r="F69" s="17">
        <v>0.0415</v>
      </c>
      <c r="G69" s="17">
        <v>0.0515</v>
      </c>
      <c r="H69" s="17">
        <v>0.0557</v>
      </c>
      <c r="J69" t="s">
        <v>123</v>
      </c>
    </row>
    <row r="70" spans="1:8" ht="12.75">
      <c r="A70" s="46">
        <v>40298</v>
      </c>
      <c r="B70">
        <v>1884</v>
      </c>
      <c r="C70" s="17">
        <v>0.0265</v>
      </c>
      <c r="D70">
        <v>95.39</v>
      </c>
      <c r="E70" s="2">
        <v>88.13</v>
      </c>
      <c r="F70" s="17">
        <v>0.041299999999999996</v>
      </c>
      <c r="G70" s="17">
        <v>0.0512</v>
      </c>
      <c r="H70" s="17">
        <v>0.0554</v>
      </c>
    </row>
    <row r="71" spans="1:8" ht="12.75">
      <c r="A71" s="46">
        <v>40329</v>
      </c>
      <c r="B71">
        <v>1924</v>
      </c>
      <c r="C71" s="17">
        <v>0.0248</v>
      </c>
      <c r="D71">
        <v>95.39</v>
      </c>
      <c r="E71" s="2">
        <v>88.13</v>
      </c>
      <c r="F71" s="17">
        <v>0.0406</v>
      </c>
      <c r="G71" s="17">
        <v>0.0503</v>
      </c>
      <c r="H71" s="17">
        <v>0.0545</v>
      </c>
    </row>
    <row r="72" spans="1:10" ht="12.75">
      <c r="A72" s="46">
        <v>40359</v>
      </c>
      <c r="B72">
        <v>1960</v>
      </c>
      <c r="C72" s="17">
        <v>0.0252</v>
      </c>
      <c r="D72">
        <v>99.78</v>
      </c>
      <c r="E72" s="2">
        <v>96.01</v>
      </c>
      <c r="F72" s="17">
        <v>0.0407</v>
      </c>
      <c r="G72" s="17">
        <v>0.0538</v>
      </c>
      <c r="H72" s="17">
        <v>0.0559</v>
      </c>
      <c r="J72" t="s">
        <v>123</v>
      </c>
    </row>
    <row r="73" spans="1:8" ht="12.75">
      <c r="A73" s="46">
        <v>40390</v>
      </c>
      <c r="B73">
        <v>1931</v>
      </c>
      <c r="C73" s="17">
        <v>0.0256</v>
      </c>
      <c r="D73">
        <v>99.78</v>
      </c>
      <c r="E73" s="2">
        <v>96.01</v>
      </c>
      <c r="F73" s="17">
        <v>0.0409</v>
      </c>
      <c r="G73" s="17">
        <v>0.0545</v>
      </c>
      <c r="H73" s="17">
        <v>0.0567</v>
      </c>
    </row>
    <row r="74" spans="1:8" ht="12.75">
      <c r="A74" s="46">
        <v>40421</v>
      </c>
      <c r="B74">
        <v>2003</v>
      </c>
      <c r="C74" s="17">
        <v>0.0235</v>
      </c>
      <c r="D74">
        <v>99.78</v>
      </c>
      <c r="E74" s="2">
        <v>96.01</v>
      </c>
      <c r="F74" s="17">
        <v>0.04</v>
      </c>
      <c r="G74" s="17">
        <v>0.0528</v>
      </c>
      <c r="H74" s="17">
        <v>0.0548</v>
      </c>
    </row>
    <row r="75" spans="1:10" ht="12.75">
      <c r="A75" s="46">
        <v>40451</v>
      </c>
      <c r="B75">
        <v>1973</v>
      </c>
      <c r="C75" s="17">
        <v>0.0249</v>
      </c>
      <c r="D75">
        <v>100.41</v>
      </c>
      <c r="E75" s="2">
        <v>97.52</v>
      </c>
      <c r="F75" s="17">
        <v>0.0404</v>
      </c>
      <c r="G75" s="17">
        <v>0.0543</v>
      </c>
      <c r="H75" s="17">
        <v>0.0559</v>
      </c>
      <c r="I75" s="17">
        <v>0.0487</v>
      </c>
      <c r="J75" t="s">
        <v>123</v>
      </c>
    </row>
    <row r="76" spans="1:9" ht="12.75">
      <c r="A76" s="46">
        <v>40482</v>
      </c>
      <c r="B76">
        <v>2018</v>
      </c>
      <c r="C76" s="17">
        <v>0.023399999999999997</v>
      </c>
      <c r="D76">
        <v>100.41</v>
      </c>
      <c r="E76" s="2">
        <v>97.52</v>
      </c>
      <c r="F76" s="17">
        <v>0.04</v>
      </c>
      <c r="G76" s="17">
        <v>0.0532</v>
      </c>
      <c r="H76" s="17">
        <v>0.0548</v>
      </c>
      <c r="I76" s="17">
        <v>0.0478</v>
      </c>
    </row>
    <row r="77" spans="1:9" ht="12.75">
      <c r="A77" s="46">
        <v>40512</v>
      </c>
      <c r="B77">
        <v>2068</v>
      </c>
      <c r="C77" s="17">
        <v>0.0217</v>
      </c>
      <c r="D77">
        <v>100.41</v>
      </c>
      <c r="E77" s="2">
        <v>97.52</v>
      </c>
      <c r="F77" s="17">
        <v>0.0393</v>
      </c>
      <c r="G77" s="17">
        <v>0.0521</v>
      </c>
      <c r="H77" s="17">
        <v>0.0536</v>
      </c>
      <c r="I77" s="17">
        <v>0.046799999999999994</v>
      </c>
    </row>
    <row r="78" spans="1:10" ht="12.75">
      <c r="A78" s="46">
        <v>40543</v>
      </c>
      <c r="B78">
        <v>2059</v>
      </c>
      <c r="C78" s="17">
        <v>0.0217</v>
      </c>
      <c r="D78">
        <v>107.97</v>
      </c>
      <c r="E78" s="2">
        <v>100.5</v>
      </c>
      <c r="F78" s="17">
        <v>0.0558</v>
      </c>
      <c r="G78" s="17">
        <v>0.057800000000000004</v>
      </c>
      <c r="H78" s="17">
        <v>0.0621</v>
      </c>
      <c r="I78" s="17">
        <v>0.0521</v>
      </c>
      <c r="J78" t="s">
        <v>122</v>
      </c>
    </row>
    <row r="79" spans="1:9" ht="12.75">
      <c r="A79" s="46">
        <v>40574</v>
      </c>
      <c r="B79">
        <v>1995</v>
      </c>
      <c r="C79" s="17">
        <v>0.017</v>
      </c>
      <c r="D79">
        <v>107.97</v>
      </c>
      <c r="E79" s="2">
        <v>100.5</v>
      </c>
      <c r="F79" s="17">
        <v>0.0538</v>
      </c>
      <c r="G79" s="17">
        <v>0.0601</v>
      </c>
      <c r="H79" s="17">
        <v>0.0645</v>
      </c>
      <c r="I79" s="17">
        <v>0.0542</v>
      </c>
    </row>
    <row r="80" spans="1:9" ht="12.75">
      <c r="A80" s="46">
        <v>40602</v>
      </c>
      <c r="B80">
        <v>2105</v>
      </c>
      <c r="C80" s="17">
        <v>0.02</v>
      </c>
      <c r="D80">
        <v>107.97</v>
      </c>
      <c r="E80" s="2">
        <v>100.5</v>
      </c>
      <c r="F80" s="17">
        <v>0.0551</v>
      </c>
      <c r="G80" s="17">
        <v>0.0567</v>
      </c>
      <c r="H80" s="17">
        <v>0.060899999999999996</v>
      </c>
      <c r="I80" s="17">
        <v>0.0511</v>
      </c>
    </row>
    <row r="81" spans="1:10" ht="12.75">
      <c r="A81" s="46">
        <v>40633</v>
      </c>
      <c r="B81">
        <v>2068</v>
      </c>
      <c r="C81" s="17">
        <v>0.0193</v>
      </c>
      <c r="D81">
        <v>108.59</v>
      </c>
      <c r="E81" s="2">
        <v>101.98</v>
      </c>
      <c r="F81" s="17">
        <v>0.0548</v>
      </c>
      <c r="G81" s="17">
        <v>0.058600000000000006</v>
      </c>
      <c r="H81" s="17">
        <v>0.062400000000000004</v>
      </c>
      <c r="I81" s="17">
        <v>0.0532</v>
      </c>
      <c r="J81" t="s">
        <v>123</v>
      </c>
    </row>
    <row r="82" spans="1:9" ht="12.75">
      <c r="A82" s="46">
        <v>40663</v>
      </c>
      <c r="B82">
        <v>2086</v>
      </c>
      <c r="C82" s="17">
        <v>0.020499999999999997</v>
      </c>
      <c r="D82">
        <v>108.59</v>
      </c>
      <c r="E82" s="2">
        <v>101.98</v>
      </c>
      <c r="F82" s="17">
        <v>0.0553</v>
      </c>
      <c r="G82" s="17">
        <v>0.058</v>
      </c>
      <c r="H82" s="17">
        <v>0.0617</v>
      </c>
      <c r="I82" s="17">
        <v>0.0527</v>
      </c>
    </row>
    <row r="83" spans="1:9" ht="12.75">
      <c r="A83" s="46">
        <v>40694</v>
      </c>
      <c r="B83">
        <v>2107</v>
      </c>
      <c r="C83" s="17">
        <v>0.0213</v>
      </c>
      <c r="D83">
        <v>108.59</v>
      </c>
      <c r="E83" s="2">
        <v>101.98</v>
      </c>
      <c r="F83" s="17">
        <v>0.0556</v>
      </c>
      <c r="G83" s="17">
        <v>0.0574</v>
      </c>
      <c r="H83" s="17">
        <v>0.061</v>
      </c>
      <c r="I83" s="17">
        <v>0.0521</v>
      </c>
    </row>
    <row r="84" spans="1:10" ht="12.75">
      <c r="A84" s="46">
        <v>40724</v>
      </c>
      <c r="B84">
        <v>2063</v>
      </c>
      <c r="C84" s="17">
        <v>0.0236</v>
      </c>
      <c r="D84">
        <v>108.34</v>
      </c>
      <c r="E84" s="2">
        <v>101.58</v>
      </c>
      <c r="F84" s="17">
        <v>0.0565</v>
      </c>
      <c r="G84" s="17">
        <v>0.0581</v>
      </c>
      <c r="H84" s="17">
        <v>0.061900000000000004</v>
      </c>
      <c r="I84" s="17">
        <v>0.0523</v>
      </c>
      <c r="J84" t="s">
        <v>123</v>
      </c>
    </row>
    <row r="85" spans="1:10" ht="12.75">
      <c r="A85" s="46">
        <v>40755</v>
      </c>
      <c r="B85">
        <v>2104</v>
      </c>
      <c r="C85" s="17">
        <v>0.0218</v>
      </c>
      <c r="D85">
        <v>108.34</v>
      </c>
      <c r="E85" s="2">
        <v>101.58</v>
      </c>
      <c r="F85" s="17">
        <v>0.0558</v>
      </c>
      <c r="G85" s="17">
        <v>0.059</v>
      </c>
      <c r="H85" s="17">
        <v>0.0627</v>
      </c>
      <c r="I85" s="17">
        <v>0.051399999999999994</v>
      </c>
      <c r="J85" t="s">
        <v>152</v>
      </c>
    </row>
    <row r="86" spans="1:9" ht="12.75">
      <c r="A86" s="46">
        <v>40421</v>
      </c>
      <c r="B86">
        <v>1972</v>
      </c>
      <c r="C86" s="17">
        <v>0.0222</v>
      </c>
      <c r="D86">
        <v>108.34</v>
      </c>
      <c r="E86" s="2">
        <v>101.58</v>
      </c>
      <c r="F86" s="17">
        <v>0.0632</v>
      </c>
      <c r="G86" s="17">
        <v>0.06280000000000001</v>
      </c>
      <c r="H86" s="17">
        <v>0.0669</v>
      </c>
      <c r="I86" s="17">
        <v>0.0565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36">
      <selection activeCell="E56" sqref="A1:E56"/>
    </sheetView>
  </sheetViews>
  <sheetFormatPr defaultColWidth="11.00390625" defaultRowHeight="12.75"/>
  <sheetData>
    <row r="1" spans="1:5" s="43" customFormat="1" ht="13.5">
      <c r="A1" s="103" t="s">
        <v>6</v>
      </c>
      <c r="B1" s="103" t="s">
        <v>66</v>
      </c>
      <c r="C1" s="103" t="s">
        <v>4</v>
      </c>
      <c r="D1" s="103" t="s">
        <v>67</v>
      </c>
      <c r="E1" s="104" t="s">
        <v>68</v>
      </c>
    </row>
    <row r="2" spans="1:5" s="44" customFormat="1" ht="13.5">
      <c r="A2" s="105">
        <v>1960</v>
      </c>
      <c r="B2" s="106">
        <v>0.0534</v>
      </c>
      <c r="C2" s="106">
        <v>0.0341</v>
      </c>
      <c r="D2" s="107">
        <v>0.0276</v>
      </c>
      <c r="E2" s="106"/>
    </row>
    <row r="3" spans="1:5" s="44" customFormat="1" ht="13.5">
      <c r="A3" s="105">
        <v>1961</v>
      </c>
      <c r="B3" s="106">
        <v>0.0471</v>
      </c>
      <c r="C3" s="106">
        <v>0.0285</v>
      </c>
      <c r="D3" s="107">
        <v>0.0235</v>
      </c>
      <c r="E3" s="106">
        <v>0.0292</v>
      </c>
    </row>
    <row r="4" spans="1:5" s="44" customFormat="1" ht="13.5">
      <c r="A4" s="105">
        <v>1962</v>
      </c>
      <c r="B4" s="106">
        <v>0.0581</v>
      </c>
      <c r="C4" s="106">
        <v>0.034</v>
      </c>
      <c r="D4" s="106">
        <v>0.0385</v>
      </c>
      <c r="E4" s="106">
        <v>0.0356</v>
      </c>
    </row>
    <row r="5" spans="1:5" s="44" customFormat="1" ht="13.5">
      <c r="A5" s="105">
        <v>1963</v>
      </c>
      <c r="B5" s="106">
        <v>0.0551</v>
      </c>
      <c r="C5" s="106">
        <v>0.0313</v>
      </c>
      <c r="D5" s="106">
        <v>0.0414</v>
      </c>
      <c r="E5" s="106">
        <v>0.0338</v>
      </c>
    </row>
    <row r="6" spans="1:5" s="44" customFormat="1" ht="13.5">
      <c r="A6" s="105">
        <v>1964</v>
      </c>
      <c r="B6" s="106">
        <v>0.0562</v>
      </c>
      <c r="C6" s="106">
        <v>0.0305</v>
      </c>
      <c r="D6" s="106">
        <v>0.0421</v>
      </c>
      <c r="E6" s="106">
        <v>0.0331</v>
      </c>
    </row>
    <row r="7" spans="1:5" s="44" customFormat="1" ht="13.5">
      <c r="A7" s="105">
        <v>1965</v>
      </c>
      <c r="B7" s="106">
        <v>0.0573</v>
      </c>
      <c r="C7" s="106">
        <v>0.0306</v>
      </c>
      <c r="D7" s="106">
        <v>0.0465</v>
      </c>
      <c r="E7" s="106">
        <v>0.0332</v>
      </c>
    </row>
    <row r="8" spans="1:5" s="44" customFormat="1" ht="13.5">
      <c r="A8" s="105">
        <v>1966</v>
      </c>
      <c r="B8" s="106">
        <v>0.0674</v>
      </c>
      <c r="C8" s="106">
        <v>0.0359</v>
      </c>
      <c r="D8" s="106">
        <v>0.0464</v>
      </c>
      <c r="E8" s="106">
        <v>0.0368</v>
      </c>
    </row>
    <row r="9" spans="1:5" s="44" customFormat="1" ht="13.5">
      <c r="A9" s="105">
        <v>1967</v>
      </c>
      <c r="B9" s="106">
        <v>0.0566</v>
      </c>
      <c r="C9" s="106">
        <v>0.0309</v>
      </c>
      <c r="D9" s="106">
        <v>0.057</v>
      </c>
      <c r="E9" s="106">
        <v>0.032</v>
      </c>
    </row>
    <row r="10" spans="1:5" s="44" customFormat="1" ht="13.5">
      <c r="A10" s="105">
        <v>1968</v>
      </c>
      <c r="B10" s="106">
        <v>0.0551</v>
      </c>
      <c r="C10" s="106">
        <v>0.0293</v>
      </c>
      <c r="D10" s="106">
        <v>0.0616</v>
      </c>
      <c r="E10" s="106">
        <v>0.03</v>
      </c>
    </row>
    <row r="11" spans="1:5" s="44" customFormat="1" ht="13.5">
      <c r="A11" s="105">
        <v>1969</v>
      </c>
      <c r="B11" s="106">
        <v>0.0663</v>
      </c>
      <c r="C11" s="106">
        <v>0.0352</v>
      </c>
      <c r="D11" s="106">
        <v>0.0788</v>
      </c>
      <c r="E11" s="106">
        <v>0.0374</v>
      </c>
    </row>
    <row r="12" spans="1:5" s="44" customFormat="1" ht="13.5">
      <c r="A12" s="105">
        <v>1970</v>
      </c>
      <c r="B12" s="106">
        <v>0.0598</v>
      </c>
      <c r="C12" s="106">
        <v>0.0346</v>
      </c>
      <c r="D12" s="106">
        <v>0.065</v>
      </c>
      <c r="E12" s="106">
        <v>0.0341</v>
      </c>
    </row>
    <row r="13" spans="1:5" s="44" customFormat="1" ht="13.5">
      <c r="A13" s="105">
        <v>1971</v>
      </c>
      <c r="B13" s="106">
        <v>0.0546</v>
      </c>
      <c r="C13" s="106">
        <v>0.031</v>
      </c>
      <c r="D13" s="106">
        <v>0.0589</v>
      </c>
      <c r="E13" s="106">
        <v>0.0309</v>
      </c>
    </row>
    <row r="14" spans="1:5" s="44" customFormat="1" ht="13.5">
      <c r="A14" s="105">
        <v>1972</v>
      </c>
      <c r="B14" s="106">
        <v>0.0523</v>
      </c>
      <c r="C14" s="106">
        <v>0.027</v>
      </c>
      <c r="D14" s="106">
        <v>0.0641</v>
      </c>
      <c r="E14" s="106">
        <v>0.0272</v>
      </c>
    </row>
    <row r="15" spans="1:5" s="44" customFormat="1" ht="13.5">
      <c r="A15" s="105">
        <v>1973</v>
      </c>
      <c r="B15" s="106">
        <v>0.0816</v>
      </c>
      <c r="C15" s="106">
        <v>0.037</v>
      </c>
      <c r="D15" s="106">
        <v>0.069</v>
      </c>
      <c r="E15" s="106">
        <v>0.043</v>
      </c>
    </row>
    <row r="16" spans="1:5" s="44" customFormat="1" ht="13.5">
      <c r="A16" s="105">
        <v>1974</v>
      </c>
      <c r="B16" s="106">
        <v>0.1364</v>
      </c>
      <c r="C16" s="106">
        <v>0.0543</v>
      </c>
      <c r="D16" s="106">
        <v>0.074</v>
      </c>
      <c r="E16" s="106">
        <v>0.0559</v>
      </c>
    </row>
    <row r="17" spans="1:5" s="44" customFormat="1" ht="13.5">
      <c r="A17" s="105">
        <v>1975</v>
      </c>
      <c r="B17" s="106">
        <v>0.0855</v>
      </c>
      <c r="C17" s="106">
        <v>0.0414</v>
      </c>
      <c r="D17" s="106">
        <v>0.0776</v>
      </c>
      <c r="E17" s="106">
        <v>0.0413</v>
      </c>
    </row>
    <row r="18" spans="1:5" s="44" customFormat="1" ht="13.5">
      <c r="A18" s="105">
        <v>1976</v>
      </c>
      <c r="B18" s="106">
        <v>0.0907</v>
      </c>
      <c r="C18" s="106">
        <v>0.0393</v>
      </c>
      <c r="D18" s="106">
        <v>0.0681</v>
      </c>
      <c r="E18" s="106">
        <v>0.0455</v>
      </c>
    </row>
    <row r="19" spans="1:5" s="44" customFormat="1" ht="13.5">
      <c r="A19" s="105">
        <v>1977</v>
      </c>
      <c r="B19" s="106">
        <v>0.1143</v>
      </c>
      <c r="C19" s="106">
        <v>0.0511</v>
      </c>
      <c r="D19" s="106">
        <v>0.0778</v>
      </c>
      <c r="E19" s="106">
        <v>0.0592</v>
      </c>
    </row>
    <row r="20" spans="1:5" s="44" customFormat="1" ht="13.5">
      <c r="A20" s="105">
        <v>1978</v>
      </c>
      <c r="B20" s="106">
        <v>0.1211</v>
      </c>
      <c r="C20" s="106">
        <v>0.0539</v>
      </c>
      <c r="D20" s="106">
        <v>0.0915</v>
      </c>
      <c r="E20" s="106">
        <v>0.0572</v>
      </c>
    </row>
    <row r="21" spans="1:5" s="44" customFormat="1" ht="13.5">
      <c r="A21" s="105">
        <v>1979</v>
      </c>
      <c r="B21" s="106">
        <v>0.1348</v>
      </c>
      <c r="C21" s="106">
        <v>0.0553</v>
      </c>
      <c r="D21" s="106">
        <v>0.1033</v>
      </c>
      <c r="E21" s="106">
        <v>0.0645</v>
      </c>
    </row>
    <row r="22" spans="1:5" s="44" customFormat="1" ht="13.5">
      <c r="A22" s="105">
        <v>1980</v>
      </c>
      <c r="B22" s="106">
        <v>0.1104</v>
      </c>
      <c r="C22" s="106">
        <v>0.0474</v>
      </c>
      <c r="D22" s="106">
        <v>0.1243</v>
      </c>
      <c r="E22" s="106">
        <v>0.0503</v>
      </c>
    </row>
    <row r="23" spans="1:5" s="44" customFormat="1" ht="13.5">
      <c r="A23" s="105">
        <v>1981</v>
      </c>
      <c r="B23" s="106">
        <v>0.1239</v>
      </c>
      <c r="C23" s="106">
        <v>0.0557</v>
      </c>
      <c r="D23" s="106">
        <v>0.1398</v>
      </c>
      <c r="E23" s="106">
        <v>0.0573</v>
      </c>
    </row>
    <row r="24" spans="1:5" s="44" customFormat="1" ht="13.5">
      <c r="A24" s="105">
        <v>1982</v>
      </c>
      <c r="B24" s="106">
        <v>0.0983</v>
      </c>
      <c r="C24" s="106">
        <v>0.0493</v>
      </c>
      <c r="D24" s="106">
        <v>0.1047</v>
      </c>
      <c r="E24" s="106">
        <v>0.049</v>
      </c>
    </row>
    <row r="25" spans="1:5" s="44" customFormat="1" ht="13.5">
      <c r="A25" s="105">
        <v>1983</v>
      </c>
      <c r="B25" s="106">
        <v>0.0806</v>
      </c>
      <c r="C25" s="106">
        <v>0.0432</v>
      </c>
      <c r="D25" s="106">
        <v>0.118</v>
      </c>
      <c r="E25" s="106">
        <v>0.0431</v>
      </c>
    </row>
    <row r="26" spans="1:5" s="44" customFormat="1" ht="13.5">
      <c r="A26" s="105">
        <v>1984</v>
      </c>
      <c r="B26" s="106">
        <v>0.1007</v>
      </c>
      <c r="C26" s="106">
        <v>0.0468</v>
      </c>
      <c r="D26" s="106">
        <v>0.1151</v>
      </c>
      <c r="E26" s="106">
        <v>0.0511</v>
      </c>
    </row>
    <row r="27" spans="1:5" s="44" customFormat="1" ht="13.5">
      <c r="A27" s="105">
        <v>1985</v>
      </c>
      <c r="B27" s="106">
        <v>0.0742</v>
      </c>
      <c r="C27" s="106">
        <v>0.0388</v>
      </c>
      <c r="D27" s="106">
        <v>0.0899</v>
      </c>
      <c r="E27" s="106">
        <v>0.0384</v>
      </c>
    </row>
    <row r="28" spans="1:5" s="44" customFormat="1" ht="13.5">
      <c r="A28" s="105">
        <v>1986</v>
      </c>
      <c r="B28" s="106">
        <v>0.0596</v>
      </c>
      <c r="C28" s="106">
        <v>0.0338</v>
      </c>
      <c r="D28" s="106">
        <v>0.0722</v>
      </c>
      <c r="E28" s="106">
        <v>0.0358</v>
      </c>
    </row>
    <row r="29" spans="1:5" s="44" customFormat="1" ht="13.5">
      <c r="A29" s="105">
        <v>1987</v>
      </c>
      <c r="B29" s="106">
        <v>0.0649</v>
      </c>
      <c r="C29" s="106">
        <v>0.0371</v>
      </c>
      <c r="D29" s="106">
        <v>0.0886</v>
      </c>
      <c r="E29" s="106">
        <v>0.0399</v>
      </c>
    </row>
    <row r="30" spans="1:5" s="44" customFormat="1" ht="13.5">
      <c r="A30" s="105">
        <v>1988</v>
      </c>
      <c r="B30" s="106">
        <v>0.082</v>
      </c>
      <c r="C30" s="106">
        <v>0.0368</v>
      </c>
      <c r="D30" s="106">
        <v>0.0914</v>
      </c>
      <c r="E30" s="106">
        <v>0.0377</v>
      </c>
    </row>
    <row r="31" spans="1:5" s="44" customFormat="1" ht="13.5">
      <c r="A31" s="105">
        <v>1989</v>
      </c>
      <c r="B31" s="106">
        <v>0.068</v>
      </c>
      <c r="C31" s="106">
        <v>0.0332</v>
      </c>
      <c r="D31" s="106">
        <v>0.0793</v>
      </c>
      <c r="E31" s="106">
        <v>0.0351</v>
      </c>
    </row>
    <row r="32" spans="1:5" s="44" customFormat="1" ht="13.5">
      <c r="A32" s="105">
        <v>1990</v>
      </c>
      <c r="B32" s="106">
        <v>0.0658</v>
      </c>
      <c r="C32" s="106">
        <v>0.0374</v>
      </c>
      <c r="D32" s="106">
        <v>0.0807</v>
      </c>
      <c r="E32" s="106">
        <v>0.0389</v>
      </c>
    </row>
    <row r="33" spans="1:5" s="44" customFormat="1" ht="13.5">
      <c r="A33" s="105">
        <v>1991</v>
      </c>
      <c r="B33" s="106">
        <v>0.0458</v>
      </c>
      <c r="C33" s="106">
        <v>0.0311</v>
      </c>
      <c r="D33" s="106">
        <v>0.067</v>
      </c>
      <c r="E33" s="106">
        <v>0.0348</v>
      </c>
    </row>
    <row r="34" spans="1:5" s="44" customFormat="1" ht="13.5">
      <c r="A34" s="105">
        <v>1992</v>
      </c>
      <c r="B34" s="106">
        <v>0.0416</v>
      </c>
      <c r="C34" s="106">
        <v>0.029</v>
      </c>
      <c r="D34" s="106">
        <v>0.0668</v>
      </c>
      <c r="E34" s="106">
        <v>0.0355</v>
      </c>
    </row>
    <row r="35" spans="1:5" s="44" customFormat="1" ht="13.5">
      <c r="A35" s="105">
        <v>1993</v>
      </c>
      <c r="B35" s="106">
        <v>0.0425</v>
      </c>
      <c r="C35" s="106">
        <v>0.0272</v>
      </c>
      <c r="D35" s="106">
        <v>0.0579</v>
      </c>
      <c r="E35" s="106">
        <v>0.0317</v>
      </c>
    </row>
    <row r="36" spans="1:5" s="44" customFormat="1" ht="13.5">
      <c r="A36" s="105">
        <v>1994</v>
      </c>
      <c r="B36" s="106">
        <v>0.0589</v>
      </c>
      <c r="C36" s="106">
        <v>0.0291</v>
      </c>
      <c r="D36" s="106">
        <v>0.0782</v>
      </c>
      <c r="E36" s="106">
        <v>0.0355</v>
      </c>
    </row>
    <row r="37" spans="1:5" s="44" customFormat="1" ht="13.5">
      <c r="A37" s="105">
        <v>1995</v>
      </c>
      <c r="B37" s="106">
        <v>0.0574</v>
      </c>
      <c r="C37" s="106">
        <v>0.023</v>
      </c>
      <c r="D37" s="106">
        <v>0.0557</v>
      </c>
      <c r="E37" s="106">
        <v>0.0329</v>
      </c>
    </row>
    <row r="38" spans="1:5" s="44" customFormat="1" ht="13.5">
      <c r="A38" s="105">
        <v>1996</v>
      </c>
      <c r="B38" s="106">
        <v>0.0483</v>
      </c>
      <c r="C38" s="106">
        <v>0.0201</v>
      </c>
      <c r="D38" s="106">
        <v>0.0641</v>
      </c>
      <c r="E38" s="106">
        <v>0.032</v>
      </c>
    </row>
    <row r="39" spans="1:5" s="41" customFormat="1" ht="13.5">
      <c r="A39" s="105">
        <v>1997</v>
      </c>
      <c r="B39" s="107">
        <v>0.040766408479412965</v>
      </c>
      <c r="C39" s="106">
        <v>0.015994971301381864</v>
      </c>
      <c r="D39" s="106">
        <v>0.0574</v>
      </c>
      <c r="E39" s="106">
        <v>0.0273</v>
      </c>
    </row>
    <row r="40" spans="1:5" s="41" customFormat="1" ht="13.5">
      <c r="A40" s="105">
        <v>1998</v>
      </c>
      <c r="B40" s="107">
        <v>0.03110419906687403</v>
      </c>
      <c r="C40" s="107">
        <v>0.013178981964319126</v>
      </c>
      <c r="D40" s="106">
        <v>0.0465</v>
      </c>
      <c r="E40" s="106">
        <v>0.0226</v>
      </c>
    </row>
    <row r="41" spans="1:5" s="41" customFormat="1" ht="13.5">
      <c r="A41" s="105">
        <v>1999</v>
      </c>
      <c r="B41" s="106">
        <v>0.03074085459575776</v>
      </c>
      <c r="C41" s="106">
        <v>0.011374404356705241</v>
      </c>
      <c r="D41" s="106">
        <v>0.0644</v>
      </c>
      <c r="E41" s="106">
        <v>0.0205</v>
      </c>
    </row>
    <row r="42" spans="1:5" s="41" customFormat="1" ht="13.5">
      <c r="A42" s="105">
        <v>2000</v>
      </c>
      <c r="B42" s="106">
        <v>0.03938558487593541</v>
      </c>
      <c r="C42" s="106">
        <v>0.012321969696969698</v>
      </c>
      <c r="D42" s="106">
        <v>0.0511</v>
      </c>
      <c r="E42" s="106">
        <v>0.0287</v>
      </c>
    </row>
    <row r="43" spans="1:5" s="41" customFormat="1" ht="13.5">
      <c r="A43" s="108">
        <v>2001</v>
      </c>
      <c r="B43" s="106">
        <v>0.03852485432326734</v>
      </c>
      <c r="C43" s="106">
        <v>0.013710597601233353</v>
      </c>
      <c r="D43" s="106">
        <v>0.0505</v>
      </c>
      <c r="E43" s="106">
        <v>0.0362</v>
      </c>
    </row>
    <row r="44" spans="1:5" s="45" customFormat="1" ht="13.5">
      <c r="A44" s="108">
        <v>2002</v>
      </c>
      <c r="B44" s="106">
        <v>0.05232888545384283</v>
      </c>
      <c r="C44" s="106">
        <v>0.018276465640699232</v>
      </c>
      <c r="D44" s="106">
        <v>0.0381</v>
      </c>
      <c r="E44" s="106">
        <v>0.041</v>
      </c>
    </row>
    <row r="45" spans="1:5" s="41" customFormat="1" ht="13.5">
      <c r="A45" s="108">
        <v>2003</v>
      </c>
      <c r="B45" s="106">
        <v>0.0487</v>
      </c>
      <c r="C45" s="106">
        <v>0.0161</v>
      </c>
      <c r="D45" s="106">
        <v>0.0425</v>
      </c>
      <c r="E45" s="106">
        <v>0.0369</v>
      </c>
    </row>
    <row r="46" spans="1:5" s="1" customFormat="1" ht="13.5">
      <c r="A46" s="108">
        <v>2004</v>
      </c>
      <c r="B46" s="106">
        <v>0.05584527031487227</v>
      </c>
      <c r="C46" s="106">
        <v>0.016013433229916166</v>
      </c>
      <c r="D46" s="106">
        <v>0.0422</v>
      </c>
      <c r="E46" s="106">
        <v>0.0365</v>
      </c>
    </row>
    <row r="47" spans="1:5" s="44" customFormat="1" ht="13.5">
      <c r="A47" s="108">
        <v>2005</v>
      </c>
      <c r="B47" s="106">
        <v>0.0547</v>
      </c>
      <c r="C47" s="106">
        <v>0.01792852622387426</v>
      </c>
      <c r="D47" s="106">
        <v>0.0439</v>
      </c>
      <c r="E47" s="106">
        <v>0.0408</v>
      </c>
    </row>
    <row r="48" spans="1:5" s="44" customFormat="1" ht="13.5">
      <c r="A48" s="108">
        <v>2006</v>
      </c>
      <c r="B48" s="106">
        <v>0.06184869209617148</v>
      </c>
      <c r="C48" s="106">
        <v>0.01766198970598604</v>
      </c>
      <c r="D48" s="106">
        <v>0.047</v>
      </c>
      <c r="E48" s="106">
        <v>0.0416</v>
      </c>
    </row>
    <row r="49" spans="1:5" s="44" customFormat="1" ht="13.5">
      <c r="A49" s="108">
        <v>2007</v>
      </c>
      <c r="B49" s="106">
        <v>0.056212372987550746</v>
      </c>
      <c r="C49" s="109">
        <v>0.01888501457408265</v>
      </c>
      <c r="D49" s="106">
        <v>0.0402</v>
      </c>
      <c r="E49" s="106">
        <v>0.0437</v>
      </c>
    </row>
    <row r="50" spans="1:5" s="44" customFormat="1" ht="13.5">
      <c r="A50" s="110">
        <v>2008</v>
      </c>
      <c r="B50" s="106">
        <v>0.07239413230002768</v>
      </c>
      <c r="C50" s="106">
        <v>0.031054525325214504</v>
      </c>
      <c r="D50" s="106">
        <v>0.0221</v>
      </c>
      <c r="E50" s="106">
        <v>0.0643</v>
      </c>
    </row>
    <row r="51" spans="1:5" s="44" customFormat="1" ht="13.5">
      <c r="A51" s="111">
        <v>2009</v>
      </c>
      <c r="B51" s="106">
        <v>0.05349296027262129</v>
      </c>
      <c r="C51" s="106">
        <v>0.02000717424446238</v>
      </c>
      <c r="D51" s="106">
        <v>0.0384</v>
      </c>
      <c r="E51" s="106">
        <v>0.0436</v>
      </c>
    </row>
    <row r="52" spans="1:5" s="44" customFormat="1" ht="13.5">
      <c r="A52" s="111">
        <v>2010</v>
      </c>
      <c r="B52" s="106">
        <v>0.0665214210743933</v>
      </c>
      <c r="C52" s="106">
        <v>0.01838363919722655</v>
      </c>
      <c r="D52" s="106">
        <v>0.0329</v>
      </c>
      <c r="E52" s="106">
        <v>0.052</v>
      </c>
    </row>
    <row r="53" spans="1:5" s="44" customFormat="1" ht="13.5">
      <c r="A53" s="112">
        <v>2011</v>
      </c>
      <c r="B53" s="106">
        <v>0.07717080152671756</v>
      </c>
      <c r="C53" s="106">
        <v>0.02069020356234097</v>
      </c>
      <c r="D53" s="113">
        <v>0.0188</v>
      </c>
      <c r="E53" s="113">
        <v>0.0601</v>
      </c>
    </row>
    <row r="54" spans="1:5" s="44" customFormat="1" ht="13.5">
      <c r="A54" s="112">
        <v>2012</v>
      </c>
      <c r="B54" s="113">
        <v>0.0718487719027619</v>
      </c>
      <c r="C54" s="113">
        <v>0.02134357974743898</v>
      </c>
      <c r="D54" s="113">
        <v>0.0176</v>
      </c>
      <c r="E54" s="113">
        <v>0.0578</v>
      </c>
    </row>
    <row r="55" spans="1:5" s="1" customFormat="1" ht="13.5">
      <c r="A55" s="114">
        <v>2013</v>
      </c>
      <c r="B55" s="115">
        <f>101.81/1848.36</f>
        <v>0.05508126122616807</v>
      </c>
      <c r="C55" s="115">
        <f>34.32/1848.36</f>
        <v>0.01856781146529897</v>
      </c>
      <c r="D55" s="109">
        <v>0.0304</v>
      </c>
      <c r="E55" s="109">
        <v>0.0496</v>
      </c>
    </row>
    <row r="56" spans="1:5" ht="13.5">
      <c r="A56" s="114">
        <v>2014</v>
      </c>
      <c r="B56" s="113">
        <v>0.0557</v>
      </c>
      <c r="C56" s="109">
        <v>0.0187</v>
      </c>
      <c r="D56" s="109">
        <v>0.0301</v>
      </c>
      <c r="E56" s="109">
        <v>0.057800000000000004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57">
      <selection activeCell="A89" sqref="A89:J89"/>
    </sheetView>
  </sheetViews>
  <sheetFormatPr defaultColWidth="11.00390625" defaultRowHeight="12.75"/>
  <sheetData>
    <row r="1" spans="1:10" ht="13.5">
      <c r="A1" s="42"/>
      <c r="B1" s="59" t="s">
        <v>102</v>
      </c>
      <c r="C1" s="60"/>
      <c r="D1" s="61"/>
      <c r="E1" s="59" t="s">
        <v>103</v>
      </c>
      <c r="F1" s="60"/>
      <c r="G1" s="61"/>
      <c r="H1" s="42"/>
      <c r="I1" s="42"/>
      <c r="J1" s="42"/>
    </row>
    <row r="2" spans="1:10" ht="15">
      <c r="A2" s="62" t="s">
        <v>6</v>
      </c>
      <c r="B2" s="62" t="s">
        <v>101</v>
      </c>
      <c r="C2" s="62" t="s">
        <v>104</v>
      </c>
      <c r="D2" s="62" t="s">
        <v>105</v>
      </c>
      <c r="E2" s="63" t="s">
        <v>106</v>
      </c>
      <c r="F2" s="63" t="s">
        <v>107</v>
      </c>
      <c r="G2" s="63" t="s">
        <v>108</v>
      </c>
      <c r="H2" s="63" t="s">
        <v>109</v>
      </c>
      <c r="I2" s="63" t="s">
        <v>110</v>
      </c>
      <c r="J2" s="63" t="s">
        <v>111</v>
      </c>
    </row>
    <row r="3" spans="1:10" ht="15">
      <c r="A3" s="32">
        <v>1928</v>
      </c>
      <c r="B3" s="64">
        <v>0.43811155152887893</v>
      </c>
      <c r="C3" s="64">
        <v>0.0308</v>
      </c>
      <c r="D3" s="64">
        <v>0.008354708589799302</v>
      </c>
      <c r="E3" s="65">
        <f>100*(1+B3)</f>
        <v>143.8111551528879</v>
      </c>
      <c r="F3" s="65">
        <f>100*(1+C3)</f>
        <v>103.08</v>
      </c>
      <c r="G3" s="65">
        <f>100*(1+D3)</f>
        <v>100.83547085897993</v>
      </c>
      <c r="H3" s="66">
        <f>B3-C3</f>
        <v>0.40731155152887893</v>
      </c>
      <c r="I3" s="64">
        <f>B3-D3</f>
        <v>0.4297568429390796</v>
      </c>
      <c r="J3" s="63"/>
    </row>
    <row r="4" spans="1:10" ht="15">
      <c r="A4" s="32">
        <v>1929</v>
      </c>
      <c r="B4" s="64">
        <v>-0.0829794661190966</v>
      </c>
      <c r="C4" s="64">
        <v>0.0316</v>
      </c>
      <c r="D4" s="64">
        <v>0.04203804156320426</v>
      </c>
      <c r="E4" s="65">
        <f aca="true" t="shared" si="0" ref="E4:G19">E3*(1+B4)</f>
        <v>131.8777822763307</v>
      </c>
      <c r="F4" s="65">
        <f t="shared" si="0"/>
        <v>106.337328</v>
      </c>
      <c r="G4" s="65">
        <f t="shared" si="0"/>
        <v>105.074396573995</v>
      </c>
      <c r="H4" s="66">
        <f aca="true" t="shared" si="1" ref="H4:H67">B4-C4</f>
        <v>-0.1145794661190966</v>
      </c>
      <c r="I4" s="64">
        <f aca="true" t="shared" si="2" ref="I4:I67">B4-D4</f>
        <v>-0.12501750768230085</v>
      </c>
      <c r="J4" s="63"/>
    </row>
    <row r="5" spans="1:10" ht="15">
      <c r="A5" s="32">
        <v>1930</v>
      </c>
      <c r="B5" s="64">
        <v>-0.25123636363636365</v>
      </c>
      <c r="C5" s="64">
        <v>0.0455</v>
      </c>
      <c r="D5" s="64">
        <v>0.045409314348970366</v>
      </c>
      <c r="E5" s="65">
        <f t="shared" si="0"/>
        <v>98.74528781279727</v>
      </c>
      <c r="F5" s="65">
        <f t="shared" si="0"/>
        <v>111.17567642400002</v>
      </c>
      <c r="G5" s="65">
        <f t="shared" si="0"/>
        <v>109.84575287805193</v>
      </c>
      <c r="H5" s="66">
        <f t="shared" si="1"/>
        <v>-0.29673636363636363</v>
      </c>
      <c r="I5" s="64">
        <f t="shared" si="2"/>
        <v>-0.29664567798533403</v>
      </c>
      <c r="J5" s="63"/>
    </row>
    <row r="6" spans="1:10" ht="15">
      <c r="A6" s="32">
        <v>1931</v>
      </c>
      <c r="B6" s="64">
        <v>-0.4383754889178619</v>
      </c>
      <c r="C6" s="64">
        <v>0.0231</v>
      </c>
      <c r="D6" s="64">
        <v>-0.02558855961942253</v>
      </c>
      <c r="E6" s="65">
        <f t="shared" si="0"/>
        <v>55.457773989527276</v>
      </c>
      <c r="F6" s="65">
        <f t="shared" si="0"/>
        <v>113.7438345493944</v>
      </c>
      <c r="G6" s="65">
        <f t="shared" si="0"/>
        <v>107.03495828159154</v>
      </c>
      <c r="H6" s="66">
        <f t="shared" si="1"/>
        <v>-0.4614754889178619</v>
      </c>
      <c r="I6" s="64">
        <f t="shared" si="2"/>
        <v>-0.41278692929843935</v>
      </c>
      <c r="J6" s="63"/>
    </row>
    <row r="7" spans="1:10" ht="15">
      <c r="A7" s="32">
        <v>1932</v>
      </c>
      <c r="B7" s="64">
        <v>-0.08642364532019696</v>
      </c>
      <c r="C7" s="64">
        <v>0.0107</v>
      </c>
      <c r="D7" s="64">
        <v>0.08790306990477326</v>
      </c>
      <c r="E7" s="65">
        <f t="shared" si="0"/>
        <v>50.66491100000872</v>
      </c>
      <c r="F7" s="65">
        <f t="shared" si="0"/>
        <v>114.96089357907292</v>
      </c>
      <c r="G7" s="65">
        <f t="shared" si="0"/>
        <v>116.44365970167279</v>
      </c>
      <c r="H7" s="66">
        <f t="shared" si="1"/>
        <v>-0.09712364532019696</v>
      </c>
      <c r="I7" s="64">
        <f t="shared" si="2"/>
        <v>-0.17432671522497023</v>
      </c>
      <c r="J7" s="63"/>
    </row>
    <row r="8" spans="1:10" ht="15">
      <c r="A8" s="32">
        <v>1933</v>
      </c>
      <c r="B8" s="64">
        <v>0.49982225433526023</v>
      </c>
      <c r="C8" s="64">
        <v>0.0096</v>
      </c>
      <c r="D8" s="64">
        <v>0.01855272089185736</v>
      </c>
      <c r="E8" s="65">
        <f t="shared" si="0"/>
        <v>75.9883610317284</v>
      </c>
      <c r="F8" s="65">
        <f t="shared" si="0"/>
        <v>116.06451815743202</v>
      </c>
      <c r="G8" s="65">
        <f t="shared" si="0"/>
        <v>118.60400641974435</v>
      </c>
      <c r="H8" s="66">
        <f t="shared" si="1"/>
        <v>0.49022225433526023</v>
      </c>
      <c r="I8" s="64">
        <f t="shared" si="2"/>
        <v>0.48126953344340284</v>
      </c>
      <c r="J8" s="63"/>
    </row>
    <row r="9" spans="1:10" ht="15">
      <c r="A9" s="32">
        <v>1934</v>
      </c>
      <c r="B9" s="64">
        <v>-0.011885656970912803</v>
      </c>
      <c r="C9" s="64">
        <v>0.003225</v>
      </c>
      <c r="D9" s="64">
        <v>0.0796344261796561</v>
      </c>
      <c r="E9" s="65">
        <f t="shared" si="0"/>
        <v>75.0851894387234</v>
      </c>
      <c r="F9" s="65">
        <f t="shared" si="0"/>
        <v>116.43882622848975</v>
      </c>
      <c r="G9" s="65">
        <f t="shared" si="0"/>
        <v>128.04896841358894</v>
      </c>
      <c r="H9" s="66">
        <f t="shared" si="1"/>
        <v>-0.015110656970912803</v>
      </c>
      <c r="I9" s="64">
        <f t="shared" si="2"/>
        <v>-0.0915200831505689</v>
      </c>
      <c r="J9" s="63"/>
    </row>
    <row r="10" spans="1:10" ht="15">
      <c r="A10" s="32">
        <v>1935</v>
      </c>
      <c r="B10" s="64">
        <v>0.4674042105263158</v>
      </c>
      <c r="C10" s="64">
        <v>0.0017499999999999998</v>
      </c>
      <c r="D10" s="64">
        <v>0.04472047729656613</v>
      </c>
      <c r="E10" s="65">
        <f t="shared" si="0"/>
        <v>110.18032313054879</v>
      </c>
      <c r="F10" s="65">
        <f t="shared" si="0"/>
        <v>116.64259417438959</v>
      </c>
      <c r="G10" s="65">
        <f t="shared" si="0"/>
        <v>133.77537939837757</v>
      </c>
      <c r="H10" s="66">
        <f t="shared" si="1"/>
        <v>0.46565421052631584</v>
      </c>
      <c r="I10" s="64">
        <f t="shared" si="2"/>
        <v>0.42268373322974967</v>
      </c>
      <c r="J10" s="63"/>
    </row>
    <row r="11" spans="1:10" ht="15">
      <c r="A11" s="32">
        <v>1936</v>
      </c>
      <c r="B11" s="64">
        <v>0.3194341027550261</v>
      </c>
      <c r="C11" s="64">
        <v>0.0017000000000000001</v>
      </c>
      <c r="D11" s="64">
        <v>0.0501787540454506</v>
      </c>
      <c r="E11" s="65">
        <f t="shared" si="0"/>
        <v>145.3756757910145</v>
      </c>
      <c r="F11" s="65">
        <f t="shared" si="0"/>
        <v>116.84088658448606</v>
      </c>
      <c r="G11" s="65">
        <f t="shared" si="0"/>
        <v>140.4880612585456</v>
      </c>
      <c r="H11" s="66">
        <f t="shared" si="1"/>
        <v>0.3177341027550261</v>
      </c>
      <c r="I11" s="64">
        <f t="shared" si="2"/>
        <v>0.2692553487095755</v>
      </c>
      <c r="J11" s="63"/>
    </row>
    <row r="12" spans="1:10" ht="15">
      <c r="A12" s="32">
        <v>1937</v>
      </c>
      <c r="B12" s="64">
        <v>-0.3533672875436554</v>
      </c>
      <c r="C12" s="64">
        <v>0.0030250000000000003</v>
      </c>
      <c r="D12" s="64">
        <v>0.01379146059646038</v>
      </c>
      <c r="E12" s="65">
        <f t="shared" si="0"/>
        <v>94.00466756191786</v>
      </c>
      <c r="F12" s="65">
        <f t="shared" si="0"/>
        <v>117.19433026640414</v>
      </c>
      <c r="G12" s="65">
        <f t="shared" si="0"/>
        <v>142.42559681966594</v>
      </c>
      <c r="H12" s="66">
        <f t="shared" si="1"/>
        <v>-0.3563922875436554</v>
      </c>
      <c r="I12" s="64">
        <f t="shared" si="2"/>
        <v>-0.36715874814011573</v>
      </c>
      <c r="J12" s="63"/>
    </row>
    <row r="13" spans="1:10" ht="15">
      <c r="A13" s="32">
        <v>1938</v>
      </c>
      <c r="B13" s="64">
        <v>0.29282654028436017</v>
      </c>
      <c r="C13" s="64">
        <v>0.000775</v>
      </c>
      <c r="D13" s="64">
        <v>0.04213248532204607</v>
      </c>
      <c r="E13" s="65">
        <f t="shared" si="0"/>
        <v>121.53172913465568</v>
      </c>
      <c r="F13" s="65">
        <f t="shared" si="0"/>
        <v>117.28515587236059</v>
      </c>
      <c r="G13" s="65">
        <f t="shared" si="0"/>
        <v>148.42634118715418</v>
      </c>
      <c r="H13" s="66">
        <f t="shared" si="1"/>
        <v>0.29205154028436014</v>
      </c>
      <c r="I13" s="64">
        <f t="shared" si="2"/>
        <v>0.2506940549623141</v>
      </c>
      <c r="J13" s="63"/>
    </row>
    <row r="14" spans="1:10" ht="15">
      <c r="A14" s="32">
        <v>1939</v>
      </c>
      <c r="B14" s="64">
        <v>-0.010975646879756443</v>
      </c>
      <c r="C14" s="64">
        <v>0.00037500000000000006</v>
      </c>
      <c r="D14" s="64">
        <v>0.04412261394206067</v>
      </c>
      <c r="E14" s="65">
        <f t="shared" si="0"/>
        <v>120.19783979098749</v>
      </c>
      <c r="F14" s="65">
        <f t="shared" si="0"/>
        <v>117.32913780581272</v>
      </c>
      <c r="G14" s="65">
        <f t="shared" si="0"/>
        <v>154.97529933818757</v>
      </c>
      <c r="H14" s="66">
        <f t="shared" si="1"/>
        <v>-0.011350646879756444</v>
      </c>
      <c r="I14" s="64">
        <f t="shared" si="2"/>
        <v>-0.05509826082181711</v>
      </c>
      <c r="J14" s="63"/>
    </row>
    <row r="15" spans="1:10" ht="15">
      <c r="A15" s="32">
        <v>1940</v>
      </c>
      <c r="B15" s="64">
        <v>-0.10672873194221515</v>
      </c>
      <c r="C15" s="64">
        <v>0.00025</v>
      </c>
      <c r="D15" s="64">
        <v>0.05402481596284551</v>
      </c>
      <c r="E15" s="65">
        <f t="shared" si="0"/>
        <v>107.36927676790187</v>
      </c>
      <c r="F15" s="65">
        <f t="shared" si="0"/>
        <v>117.35847009026418</v>
      </c>
      <c r="G15" s="65">
        <f t="shared" si="0"/>
        <v>163.34781136372007</v>
      </c>
      <c r="H15" s="66">
        <f t="shared" si="1"/>
        <v>-0.10697873194221515</v>
      </c>
      <c r="I15" s="64">
        <f t="shared" si="2"/>
        <v>-0.16075354790506066</v>
      </c>
      <c r="J15" s="63"/>
    </row>
    <row r="16" spans="1:10" ht="15">
      <c r="A16" s="32">
        <v>1941</v>
      </c>
      <c r="B16" s="64">
        <v>-0.1277145557655955</v>
      </c>
      <c r="C16" s="64">
        <v>0.0008249999999999999</v>
      </c>
      <c r="D16" s="64">
        <v>-0.020221975848580105</v>
      </c>
      <c r="E16" s="65">
        <f t="shared" si="0"/>
        <v>93.656657282616</v>
      </c>
      <c r="F16" s="65">
        <f t="shared" si="0"/>
        <v>117.45529082808865</v>
      </c>
      <c r="G16" s="65">
        <f t="shared" si="0"/>
        <v>160.0445958674045</v>
      </c>
      <c r="H16" s="66">
        <f t="shared" si="1"/>
        <v>-0.1285395557655955</v>
      </c>
      <c r="I16" s="64">
        <f t="shared" si="2"/>
        <v>-0.10749257991701541</v>
      </c>
      <c r="J16" s="63"/>
    </row>
    <row r="17" spans="1:10" ht="15">
      <c r="A17" s="32">
        <v>1942</v>
      </c>
      <c r="B17" s="64">
        <v>0.19173762945914843</v>
      </c>
      <c r="C17" s="64">
        <v>0.0033750000000000004</v>
      </c>
      <c r="D17" s="64">
        <v>0.022948682374484164</v>
      </c>
      <c r="E17" s="65">
        <f t="shared" si="0"/>
        <v>111.61416273305268</v>
      </c>
      <c r="F17" s="65">
        <f t="shared" si="0"/>
        <v>117.85170243463344</v>
      </c>
      <c r="G17" s="65">
        <f t="shared" si="0"/>
        <v>163.71740846371824</v>
      </c>
      <c r="H17" s="66">
        <f t="shared" si="1"/>
        <v>0.18836262945914845</v>
      </c>
      <c r="I17" s="64">
        <f t="shared" si="2"/>
        <v>0.16878894708466427</v>
      </c>
      <c r="J17" s="63"/>
    </row>
    <row r="18" spans="1:10" ht="15">
      <c r="A18" s="32">
        <v>1943</v>
      </c>
      <c r="B18" s="64">
        <v>0.25061310133060394</v>
      </c>
      <c r="C18" s="64">
        <v>0.0038</v>
      </c>
      <c r="D18" s="64">
        <v>0.0249</v>
      </c>
      <c r="E18" s="65">
        <f t="shared" si="0"/>
        <v>139.5861342080017</v>
      </c>
      <c r="F18" s="65">
        <f t="shared" si="0"/>
        <v>118.29953890388505</v>
      </c>
      <c r="G18" s="65">
        <f t="shared" si="0"/>
        <v>167.79397193446482</v>
      </c>
      <c r="H18" s="66">
        <f t="shared" si="1"/>
        <v>0.24681310133060394</v>
      </c>
      <c r="I18" s="64">
        <f t="shared" si="2"/>
        <v>0.22571310133060393</v>
      </c>
      <c r="J18" s="63"/>
    </row>
    <row r="19" spans="1:10" ht="15">
      <c r="A19" s="32">
        <v>1944</v>
      </c>
      <c r="B19" s="64">
        <v>0.1903067694944301</v>
      </c>
      <c r="C19" s="64">
        <v>0.0038</v>
      </c>
      <c r="D19" s="64">
        <v>0.025776111579070303</v>
      </c>
      <c r="E19" s="65">
        <f t="shared" si="0"/>
        <v>166.15032047534245</v>
      </c>
      <c r="F19" s="65">
        <f t="shared" si="0"/>
        <v>118.74907715171982</v>
      </c>
      <c r="G19" s="65">
        <f t="shared" si="0"/>
        <v>172.11904807734297</v>
      </c>
      <c r="H19" s="66">
        <f t="shared" si="1"/>
        <v>0.1865067694944301</v>
      </c>
      <c r="I19" s="64">
        <f t="shared" si="2"/>
        <v>0.16453065791535978</v>
      </c>
      <c r="J19" s="63"/>
    </row>
    <row r="20" spans="1:10" ht="15">
      <c r="A20" s="32">
        <v>1945</v>
      </c>
      <c r="B20" s="64">
        <v>0.358210843373494</v>
      </c>
      <c r="C20" s="64">
        <v>0.0038</v>
      </c>
      <c r="D20" s="64">
        <v>0.03804417341923723</v>
      </c>
      <c r="E20" s="65">
        <f aca="true" t="shared" si="3" ref="E20:G35">E19*(1+B20)</f>
        <v>225.6671668995912</v>
      </c>
      <c r="F20" s="65">
        <f t="shared" si="3"/>
        <v>119.20032364489636</v>
      </c>
      <c r="G20" s="65">
        <f t="shared" si="3"/>
        <v>178.66717499115143</v>
      </c>
      <c r="H20" s="66">
        <f t="shared" si="1"/>
        <v>0.354410843373494</v>
      </c>
      <c r="I20" s="64">
        <f t="shared" si="2"/>
        <v>0.3201666699542568</v>
      </c>
      <c r="J20" s="63"/>
    </row>
    <row r="21" spans="1:10" ht="15">
      <c r="A21" s="32">
        <v>1946</v>
      </c>
      <c r="B21" s="64">
        <v>-0.08429147465437781</v>
      </c>
      <c r="C21" s="64">
        <v>0.0038</v>
      </c>
      <c r="D21" s="64">
        <v>0.031283745375695685</v>
      </c>
      <c r="E21" s="65">
        <f t="shared" si="3"/>
        <v>206.64534862054904</v>
      </c>
      <c r="F21" s="65">
        <f t="shared" si="3"/>
        <v>119.65328487474697</v>
      </c>
      <c r="G21" s="65">
        <f t="shared" si="3"/>
        <v>184.2565534005695</v>
      </c>
      <c r="H21" s="66">
        <f t="shared" si="1"/>
        <v>-0.0880914746543778</v>
      </c>
      <c r="I21" s="64">
        <f t="shared" si="2"/>
        <v>-0.11557522003007349</v>
      </c>
      <c r="J21" s="63"/>
    </row>
    <row r="22" spans="1:10" ht="15">
      <c r="A22" s="32">
        <v>1947</v>
      </c>
      <c r="B22" s="64">
        <v>0.052</v>
      </c>
      <c r="C22" s="64">
        <v>0.005675</v>
      </c>
      <c r="D22" s="64">
        <v>0.009196968062832236</v>
      </c>
      <c r="E22" s="65">
        <f t="shared" si="3"/>
        <v>217.3909067488176</v>
      </c>
      <c r="F22" s="65">
        <f t="shared" si="3"/>
        <v>120.33231726641117</v>
      </c>
      <c r="G22" s="65">
        <f t="shared" si="3"/>
        <v>185.95115503756207</v>
      </c>
      <c r="H22" s="66">
        <f t="shared" si="1"/>
        <v>0.046325</v>
      </c>
      <c r="I22" s="64">
        <f t="shared" si="2"/>
        <v>0.042803031937167765</v>
      </c>
      <c r="J22" s="63"/>
    </row>
    <row r="23" spans="1:10" ht="15">
      <c r="A23" s="32">
        <v>1948</v>
      </c>
      <c r="B23" s="64">
        <v>0.057045751633986834</v>
      </c>
      <c r="C23" s="64">
        <v>0.010225</v>
      </c>
      <c r="D23" s="64">
        <v>0.019510369413175046</v>
      </c>
      <c r="E23" s="65">
        <f t="shared" si="3"/>
        <v>229.79213442269784</v>
      </c>
      <c r="F23" s="65">
        <f t="shared" si="3"/>
        <v>121.56271521046021</v>
      </c>
      <c r="G23" s="65">
        <f t="shared" si="3"/>
        <v>189.5791307651515</v>
      </c>
      <c r="H23" s="66">
        <f t="shared" si="1"/>
        <v>0.046820751633986836</v>
      </c>
      <c r="I23" s="64">
        <f t="shared" si="2"/>
        <v>0.03753538222081179</v>
      </c>
      <c r="J23" s="63"/>
    </row>
    <row r="24" spans="1:10" ht="15">
      <c r="A24" s="32">
        <v>1949</v>
      </c>
      <c r="B24" s="64">
        <v>0.18303223684210526</v>
      </c>
      <c r="C24" s="64">
        <v>0.011025</v>
      </c>
      <c r="D24" s="64">
        <v>0.04663485182797314</v>
      </c>
      <c r="E24" s="65">
        <f t="shared" si="3"/>
        <v>271.851502794806</v>
      </c>
      <c r="F24" s="65">
        <f t="shared" si="3"/>
        <v>122.90294414565554</v>
      </c>
      <c r="G24" s="65">
        <f t="shared" si="3"/>
        <v>198.42012543806027</v>
      </c>
      <c r="H24" s="66">
        <f t="shared" si="1"/>
        <v>0.17200723684210525</v>
      </c>
      <c r="I24" s="64">
        <f t="shared" si="2"/>
        <v>0.13639738501413212</v>
      </c>
      <c r="J24" s="63"/>
    </row>
    <row r="25" spans="1:10" ht="15">
      <c r="A25" s="32">
        <v>1950</v>
      </c>
      <c r="B25" s="64">
        <v>0.30805539011316263</v>
      </c>
      <c r="C25" s="64">
        <v>0.011725</v>
      </c>
      <c r="D25" s="64">
        <v>0.00429595741710961</v>
      </c>
      <c r="E25" s="65">
        <f t="shared" si="3"/>
        <v>355.5968235411095</v>
      </c>
      <c r="F25" s="65">
        <f t="shared" si="3"/>
        <v>124.34398116576335</v>
      </c>
      <c r="G25" s="65">
        <f t="shared" si="3"/>
        <v>199.2725298476397</v>
      </c>
      <c r="H25" s="66">
        <f t="shared" si="1"/>
        <v>0.29633039011316264</v>
      </c>
      <c r="I25" s="64">
        <f t="shared" si="2"/>
        <v>0.30375943269605304</v>
      </c>
      <c r="J25" s="63"/>
    </row>
    <row r="26" spans="1:10" ht="15">
      <c r="A26" s="32">
        <v>1951</v>
      </c>
      <c r="B26" s="64">
        <v>0.2367846304454234</v>
      </c>
      <c r="C26" s="64">
        <v>0.014775</v>
      </c>
      <c r="D26" s="64">
        <v>-0.0029531392208319886</v>
      </c>
      <c r="E26" s="65">
        <f t="shared" si="3"/>
        <v>439.7966859908575</v>
      </c>
      <c r="F26" s="65">
        <f t="shared" si="3"/>
        <v>126.18116348748751</v>
      </c>
      <c r="G26" s="65">
        <f t="shared" si="3"/>
        <v>198.68405032411223</v>
      </c>
      <c r="H26" s="66">
        <f t="shared" si="1"/>
        <v>0.22200963044542338</v>
      </c>
      <c r="I26" s="64">
        <f t="shared" si="2"/>
        <v>0.23973776966625537</v>
      </c>
      <c r="J26" s="63"/>
    </row>
    <row r="27" spans="1:10" ht="15">
      <c r="A27" s="32">
        <v>1952</v>
      </c>
      <c r="B27" s="64">
        <v>0.18150988641144306</v>
      </c>
      <c r="C27" s="64">
        <v>0.016725</v>
      </c>
      <c r="D27" s="64">
        <v>0.022679961918305656</v>
      </c>
      <c r="E27" s="65">
        <f t="shared" si="3"/>
        <v>519.6241325091871</v>
      </c>
      <c r="F27" s="65">
        <f t="shared" si="3"/>
        <v>128.29154344681575</v>
      </c>
      <c r="G27" s="65">
        <f t="shared" si="3"/>
        <v>203.19019701923781</v>
      </c>
      <c r="H27" s="66">
        <f t="shared" si="1"/>
        <v>0.16478488641144307</v>
      </c>
      <c r="I27" s="64">
        <f t="shared" si="2"/>
        <v>0.1588299244931374</v>
      </c>
      <c r="J27" s="63"/>
    </row>
    <row r="28" spans="1:10" ht="15">
      <c r="A28" s="32">
        <v>1953</v>
      </c>
      <c r="B28" s="64">
        <v>-0.012082047421904465</v>
      </c>
      <c r="C28" s="64">
        <v>0.018925</v>
      </c>
      <c r="D28" s="64">
        <v>0.04143840258908851</v>
      </c>
      <c r="E28" s="65">
        <f t="shared" si="3"/>
        <v>513.3460090986451</v>
      </c>
      <c r="F28" s="65">
        <f t="shared" si="3"/>
        <v>130.71946090654674</v>
      </c>
      <c r="G28" s="65">
        <f t="shared" si="3"/>
        <v>211.61007420547722</v>
      </c>
      <c r="H28" s="66">
        <f t="shared" si="1"/>
        <v>-0.031007047421904466</v>
      </c>
      <c r="I28" s="64">
        <f t="shared" si="2"/>
        <v>-0.05352045001099298</v>
      </c>
      <c r="J28" s="63"/>
    </row>
    <row r="29" spans="1:10" ht="15">
      <c r="A29" s="32">
        <v>1954</v>
      </c>
      <c r="B29" s="64">
        <v>0.525633212414349</v>
      </c>
      <c r="C29" s="64">
        <v>0.009625</v>
      </c>
      <c r="D29" s="64">
        <v>0.032898034558095555</v>
      </c>
      <c r="E29" s="65">
        <f t="shared" si="3"/>
        <v>783.1777209412517</v>
      </c>
      <c r="F29" s="65">
        <f t="shared" si="3"/>
        <v>131.97763571777224</v>
      </c>
      <c r="G29" s="65">
        <f t="shared" si="3"/>
        <v>218.57162973953018</v>
      </c>
      <c r="H29" s="66">
        <f t="shared" si="1"/>
        <v>0.516008212414349</v>
      </c>
      <c r="I29" s="64">
        <f t="shared" si="2"/>
        <v>0.4927351778562535</v>
      </c>
      <c r="J29" s="63"/>
    </row>
    <row r="30" spans="1:10" ht="15">
      <c r="A30" s="32">
        <v>1955</v>
      </c>
      <c r="B30" s="64">
        <v>0.3259733185102835</v>
      </c>
      <c r="C30" s="64">
        <v>0.0166</v>
      </c>
      <c r="D30" s="64">
        <v>-0.013364391288618781</v>
      </c>
      <c r="E30" s="65">
        <f t="shared" si="3"/>
        <v>1038.4727616197922</v>
      </c>
      <c r="F30" s="65">
        <f t="shared" si="3"/>
        <v>134.16846447068727</v>
      </c>
      <c r="G30" s="65">
        <f t="shared" si="3"/>
        <v>215.65055295509998</v>
      </c>
      <c r="H30" s="66">
        <f t="shared" si="1"/>
        <v>0.3093733185102835</v>
      </c>
      <c r="I30" s="64">
        <f t="shared" si="2"/>
        <v>0.33933770979890227</v>
      </c>
      <c r="J30" s="63"/>
    </row>
    <row r="31" spans="1:10" ht="15">
      <c r="A31" s="32">
        <v>1956</v>
      </c>
      <c r="B31" s="64">
        <v>0.07439511873350935</v>
      </c>
      <c r="C31" s="64">
        <v>0.025550000000000003</v>
      </c>
      <c r="D31" s="64">
        <v>-0.022557738173154165</v>
      </c>
      <c r="E31" s="65">
        <f t="shared" si="3"/>
        <v>1115.730066022012</v>
      </c>
      <c r="F31" s="65">
        <f t="shared" si="3"/>
        <v>137.5964687379133</v>
      </c>
      <c r="G31" s="65">
        <f t="shared" si="3"/>
        <v>210.7859642446429</v>
      </c>
      <c r="H31" s="66">
        <f t="shared" si="1"/>
        <v>0.04884511873350934</v>
      </c>
      <c r="I31" s="64">
        <f t="shared" si="2"/>
        <v>0.09695285690666351</v>
      </c>
      <c r="J31" s="63"/>
    </row>
    <row r="32" spans="1:10" ht="15">
      <c r="A32" s="32">
        <v>1957</v>
      </c>
      <c r="B32" s="64">
        <v>-0.1045736018855796</v>
      </c>
      <c r="C32" s="64">
        <v>0.0323</v>
      </c>
      <c r="D32" s="64">
        <v>0.0679701284662499</v>
      </c>
      <c r="E32" s="65">
        <f t="shared" si="3"/>
        <v>999.0541542860545</v>
      </c>
      <c r="F32" s="65">
        <f t="shared" si="3"/>
        <v>142.04083467814792</v>
      </c>
      <c r="G32" s="65">
        <f t="shared" si="3"/>
        <v>225.11311331323367</v>
      </c>
      <c r="H32" s="66">
        <f t="shared" si="1"/>
        <v>-0.1368736018855796</v>
      </c>
      <c r="I32" s="64">
        <f t="shared" si="2"/>
        <v>-0.17254373035182952</v>
      </c>
      <c r="J32" s="63"/>
    </row>
    <row r="33" spans="1:10" ht="15">
      <c r="A33" s="32">
        <v>1958</v>
      </c>
      <c r="B33" s="64">
        <v>0.43719954988747184</v>
      </c>
      <c r="C33" s="64">
        <v>0.017775</v>
      </c>
      <c r="D33" s="64">
        <v>-0.020990181755274694</v>
      </c>
      <c r="E33" s="65">
        <f t="shared" si="3"/>
        <v>1435.8401808531264</v>
      </c>
      <c r="F33" s="65">
        <f t="shared" si="3"/>
        <v>144.56561051455202</v>
      </c>
      <c r="G33" s="65">
        <f t="shared" si="3"/>
        <v>220.38794814929315</v>
      </c>
      <c r="H33" s="66">
        <f t="shared" si="1"/>
        <v>0.41942454988747185</v>
      </c>
      <c r="I33" s="64">
        <f t="shared" si="2"/>
        <v>0.4581897316427465</v>
      </c>
      <c r="J33" s="63"/>
    </row>
    <row r="34" spans="1:10" ht="15">
      <c r="A34" s="32">
        <v>1959</v>
      </c>
      <c r="B34" s="64">
        <v>0.12056457163557326</v>
      </c>
      <c r="C34" s="64">
        <v>0.032549999999999996</v>
      </c>
      <c r="D34" s="64">
        <v>-0.026466312591385065</v>
      </c>
      <c r="E34" s="65">
        <f t="shared" si="3"/>
        <v>1608.9516371948275</v>
      </c>
      <c r="F34" s="65">
        <f t="shared" si="3"/>
        <v>149.2712211368007</v>
      </c>
      <c r="G34" s="65">
        <f t="shared" si="3"/>
        <v>214.55509182219998</v>
      </c>
      <c r="H34" s="66">
        <f t="shared" si="1"/>
        <v>0.08801457163557326</v>
      </c>
      <c r="I34" s="64">
        <f t="shared" si="2"/>
        <v>0.1470308842269583</v>
      </c>
      <c r="J34" s="63"/>
    </row>
    <row r="35" spans="1:10" ht="15">
      <c r="A35" s="32">
        <v>1960</v>
      </c>
      <c r="B35" s="64">
        <v>0.00336535314743695</v>
      </c>
      <c r="C35" s="64">
        <v>0.030449999999999998</v>
      </c>
      <c r="D35" s="64">
        <v>0.11639503690963365</v>
      </c>
      <c r="E35" s="65">
        <f t="shared" si="3"/>
        <v>1614.366327651135</v>
      </c>
      <c r="F35" s="65">
        <f t="shared" si="3"/>
        <v>153.8165298204163</v>
      </c>
      <c r="G35" s="65">
        <f t="shared" si="3"/>
        <v>239.52823965399477</v>
      </c>
      <c r="H35" s="66">
        <f t="shared" si="1"/>
        <v>-0.02708464685256305</v>
      </c>
      <c r="I35" s="64">
        <f t="shared" si="2"/>
        <v>-0.1130296837621967</v>
      </c>
      <c r="J35" s="66">
        <f>((E35/100)^(1/(A35-$A$3+1)))-((G35/100)^(1/(A35-$A$3+1)))</f>
        <v>0.061119788031217315</v>
      </c>
    </row>
    <row r="36" spans="1:10" ht="15">
      <c r="A36" s="32">
        <v>1961</v>
      </c>
      <c r="B36" s="64">
        <v>0.2663771295818275</v>
      </c>
      <c r="C36" s="64">
        <v>0.022675</v>
      </c>
      <c r="D36" s="64">
        <v>0.020609208076323167</v>
      </c>
      <c r="E36" s="65">
        <f aca="true" t="shared" si="4" ref="E36:G51">E35*(1+B36)</f>
        <v>2044.3965961044005</v>
      </c>
      <c r="F36" s="65">
        <f t="shared" si="4"/>
        <v>157.30431963409424</v>
      </c>
      <c r="G36" s="65">
        <f t="shared" si="4"/>
        <v>244.46472698517934</v>
      </c>
      <c r="H36" s="66">
        <f t="shared" si="1"/>
        <v>0.24370212958182752</v>
      </c>
      <c r="I36" s="64">
        <f t="shared" si="2"/>
        <v>0.24576792150550436</v>
      </c>
      <c r="J36" s="66">
        <f aca="true" t="shared" si="5" ref="J36:J88">((E36/100)^(1/(A36-$A$3+1)))-((G36/100)^(1/(A36-$A$3+1)))</f>
        <v>0.06617359182997262</v>
      </c>
    </row>
    <row r="37" spans="1:10" ht="15">
      <c r="A37" s="32">
        <v>1962</v>
      </c>
      <c r="B37" s="64">
        <v>-0.08811460517120888</v>
      </c>
      <c r="C37" s="64">
        <v>0.027775000000000005</v>
      </c>
      <c r="D37" s="64">
        <v>0.05693544054008462</v>
      </c>
      <c r="E37" s="65">
        <f t="shared" si="4"/>
        <v>1864.2553972252979</v>
      </c>
      <c r="F37" s="65">
        <f t="shared" si="4"/>
        <v>161.67344711193124</v>
      </c>
      <c r="G37" s="65">
        <f t="shared" si="4"/>
        <v>258.383433912592</v>
      </c>
      <c r="H37" s="66">
        <f t="shared" si="1"/>
        <v>-0.11588960517120889</v>
      </c>
      <c r="I37" s="64">
        <f t="shared" si="2"/>
        <v>-0.14505004571129348</v>
      </c>
      <c r="J37" s="66">
        <f t="shared" si="5"/>
        <v>0.05968346537898994</v>
      </c>
    </row>
    <row r="38" spans="1:10" ht="15">
      <c r="A38" s="32">
        <v>1963</v>
      </c>
      <c r="B38" s="64">
        <v>0.22611927099841514</v>
      </c>
      <c r="C38" s="64">
        <v>0.031100000000000003</v>
      </c>
      <c r="D38" s="64">
        <v>0.016841620739546127</v>
      </c>
      <c r="E38" s="65">
        <f t="shared" si="4"/>
        <v>2285.7994686007432</v>
      </c>
      <c r="F38" s="65">
        <f t="shared" si="4"/>
        <v>166.70149131711227</v>
      </c>
      <c r="G38" s="65">
        <f t="shared" si="4"/>
        <v>262.7350297119295</v>
      </c>
      <c r="H38" s="66">
        <f t="shared" si="1"/>
        <v>0.19501927099841515</v>
      </c>
      <c r="I38" s="64">
        <f t="shared" si="2"/>
        <v>0.20927765025886902</v>
      </c>
      <c r="J38" s="66">
        <f t="shared" si="5"/>
        <v>0.06361899391151482</v>
      </c>
    </row>
    <row r="39" spans="1:10" ht="15">
      <c r="A39" s="32">
        <v>1964</v>
      </c>
      <c r="B39" s="64">
        <v>0.16415455878432425</v>
      </c>
      <c r="C39" s="64">
        <v>0.03505</v>
      </c>
      <c r="D39" s="64">
        <v>0.037280648911540815</v>
      </c>
      <c r="E39" s="65">
        <f t="shared" si="4"/>
        <v>2661.023871838341</v>
      </c>
      <c r="F39" s="65">
        <f t="shared" si="4"/>
        <v>172.54437858777706</v>
      </c>
      <c r="G39" s="65">
        <f t="shared" si="4"/>
        <v>272.5299621113832</v>
      </c>
      <c r="H39" s="66">
        <f t="shared" si="1"/>
        <v>0.12910455878432425</v>
      </c>
      <c r="I39" s="64">
        <f t="shared" si="2"/>
        <v>0.12687390987278344</v>
      </c>
      <c r="J39" s="66">
        <f t="shared" si="5"/>
        <v>0.06526777744265821</v>
      </c>
    </row>
    <row r="40" spans="1:10" ht="15">
      <c r="A40" s="32">
        <v>1965</v>
      </c>
      <c r="B40" s="64">
        <v>0.12399242477876114</v>
      </c>
      <c r="C40" s="64">
        <v>0.039025</v>
      </c>
      <c r="D40" s="64">
        <v>0.007188550935926234</v>
      </c>
      <c r="E40" s="65">
        <f t="shared" si="4"/>
        <v>2990.9706741017444</v>
      </c>
      <c r="F40" s="65">
        <f t="shared" si="4"/>
        <v>179.27792296216506</v>
      </c>
      <c r="G40" s="65">
        <f t="shared" si="4"/>
        <v>274.48905762558695</v>
      </c>
      <c r="H40" s="66">
        <f t="shared" si="1"/>
        <v>0.08496742477876115</v>
      </c>
      <c r="I40" s="64">
        <f t="shared" si="2"/>
        <v>0.11680387384283492</v>
      </c>
      <c r="J40" s="66">
        <f t="shared" si="5"/>
        <v>0.06661794168987445</v>
      </c>
    </row>
    <row r="41" spans="1:10" ht="15">
      <c r="A41" s="32">
        <v>1966</v>
      </c>
      <c r="B41" s="64">
        <v>-0.0997095423563779</v>
      </c>
      <c r="C41" s="64">
        <v>0.0484</v>
      </c>
      <c r="D41" s="64">
        <v>0.029079409324299622</v>
      </c>
      <c r="E41" s="65">
        <f t="shared" si="4"/>
        <v>2692.7423569857124</v>
      </c>
      <c r="F41" s="65">
        <f t="shared" si="4"/>
        <v>187.95497443353386</v>
      </c>
      <c r="G41" s="65">
        <f t="shared" si="4"/>
        <v>282.47103728732264</v>
      </c>
      <c r="H41" s="66">
        <f t="shared" si="1"/>
        <v>-0.1481095423563779</v>
      </c>
      <c r="I41" s="64">
        <f t="shared" si="2"/>
        <v>-0.12878895168067753</v>
      </c>
      <c r="J41" s="66">
        <f t="shared" si="5"/>
        <v>0.061123719679815336</v>
      </c>
    </row>
    <row r="42" spans="1:10" ht="15">
      <c r="A42" s="32">
        <v>1967</v>
      </c>
      <c r="B42" s="64">
        <v>0.23802966513133328</v>
      </c>
      <c r="C42" s="64">
        <v>0.043324999999999995</v>
      </c>
      <c r="D42" s="64">
        <v>-0.015806209932824666</v>
      </c>
      <c r="E42" s="65">
        <f t="shared" si="4"/>
        <v>3333.6949185039784</v>
      </c>
      <c r="F42" s="65">
        <f t="shared" si="4"/>
        <v>196.09812370086672</v>
      </c>
      <c r="G42" s="65">
        <f t="shared" si="4"/>
        <v>278.0062407720165</v>
      </c>
      <c r="H42" s="66">
        <f t="shared" si="1"/>
        <v>0.19470466513133328</v>
      </c>
      <c r="I42" s="64">
        <f t="shared" si="2"/>
        <v>0.25383587506415795</v>
      </c>
      <c r="J42" s="66">
        <f t="shared" si="5"/>
        <v>0.06573283877673952</v>
      </c>
    </row>
    <row r="43" spans="1:10" ht="15">
      <c r="A43" s="32">
        <v>1968</v>
      </c>
      <c r="B43" s="64">
        <v>0.10814862651601535</v>
      </c>
      <c r="C43" s="64">
        <v>0.0526</v>
      </c>
      <c r="D43" s="64">
        <v>0.032746196950768365</v>
      </c>
      <c r="E43" s="65">
        <f t="shared" si="4"/>
        <v>3694.2294451636035</v>
      </c>
      <c r="F43" s="65">
        <f t="shared" si="4"/>
        <v>206.4128850075323</v>
      </c>
      <c r="G43" s="65">
        <f t="shared" si="4"/>
        <v>287.1098878858797</v>
      </c>
      <c r="H43" s="66">
        <f t="shared" si="1"/>
        <v>0.05554862651601535</v>
      </c>
      <c r="I43" s="64">
        <f t="shared" si="2"/>
        <v>0.07540242956524698</v>
      </c>
      <c r="J43" s="66">
        <f t="shared" si="5"/>
        <v>0.06596627828748769</v>
      </c>
    </row>
    <row r="44" spans="1:10" ht="15">
      <c r="A44" s="32">
        <v>1969</v>
      </c>
      <c r="B44" s="64">
        <v>-0.08241371076449064</v>
      </c>
      <c r="C44" s="64">
        <v>0.065625</v>
      </c>
      <c r="D44" s="64">
        <v>-0.050140493209926106</v>
      </c>
      <c r="E44" s="65">
        <f t="shared" si="4"/>
        <v>3389.7742881722256</v>
      </c>
      <c r="F44" s="65">
        <f t="shared" si="4"/>
        <v>219.95873058615163</v>
      </c>
      <c r="G44" s="65">
        <f t="shared" si="4"/>
        <v>272.7140565018351</v>
      </c>
      <c r="H44" s="66">
        <f t="shared" si="1"/>
        <v>-0.14803871076449066</v>
      </c>
      <c r="I44" s="64">
        <f t="shared" si="2"/>
        <v>-0.03227321755456453</v>
      </c>
      <c r="J44" s="66">
        <f t="shared" si="5"/>
        <v>0.06333387273419877</v>
      </c>
    </row>
    <row r="45" spans="1:10" ht="15">
      <c r="A45" s="32">
        <v>1970</v>
      </c>
      <c r="B45" s="64">
        <v>0.03561144905496419</v>
      </c>
      <c r="C45" s="64">
        <v>0.06684999999999999</v>
      </c>
      <c r="D45" s="64">
        <v>0.16754737183412338</v>
      </c>
      <c r="E45" s="65">
        <f t="shared" si="4"/>
        <v>3510.489062543298</v>
      </c>
      <c r="F45" s="65">
        <f t="shared" si="4"/>
        <v>234.6629717258359</v>
      </c>
      <c r="G45" s="65">
        <f t="shared" si="4"/>
        <v>318.4065799309402</v>
      </c>
      <c r="H45" s="66">
        <f t="shared" si="1"/>
        <v>-0.031238550945035803</v>
      </c>
      <c r="I45" s="64">
        <f t="shared" si="2"/>
        <v>-0.1319359227791592</v>
      </c>
      <c r="J45" s="66">
        <f t="shared" si="5"/>
        <v>0.05897256666631501</v>
      </c>
    </row>
    <row r="46" spans="1:10" ht="15">
      <c r="A46" s="32">
        <v>1971</v>
      </c>
      <c r="B46" s="64">
        <v>0.14221150298426474</v>
      </c>
      <c r="C46" s="64">
        <v>0.0454</v>
      </c>
      <c r="D46" s="64">
        <v>0.09786896619712297</v>
      </c>
      <c r="E46" s="65">
        <f t="shared" si="4"/>
        <v>4009.720988337403</v>
      </c>
      <c r="F46" s="65">
        <f t="shared" si="4"/>
        <v>245.31667064218885</v>
      </c>
      <c r="G46" s="65">
        <f t="shared" si="4"/>
        <v>349.56870273914296</v>
      </c>
      <c r="H46" s="66">
        <f t="shared" si="1"/>
        <v>0.09681150298426475</v>
      </c>
      <c r="I46" s="64">
        <f t="shared" si="2"/>
        <v>0.04434253678714177</v>
      </c>
      <c r="J46" s="66">
        <f t="shared" si="5"/>
        <v>0.05866063680987854</v>
      </c>
    </row>
    <row r="47" spans="1:10" ht="15">
      <c r="A47" s="32">
        <v>1972</v>
      </c>
      <c r="B47" s="64">
        <v>0.18755362915074925</v>
      </c>
      <c r="C47" s="64">
        <v>0.039525000000000005</v>
      </c>
      <c r="D47" s="64">
        <v>0.02818449050444969</v>
      </c>
      <c r="E47" s="65">
        <f t="shared" si="4"/>
        <v>4761.7587115820115</v>
      </c>
      <c r="F47" s="65">
        <f t="shared" si="4"/>
        <v>255.01281204932138</v>
      </c>
      <c r="G47" s="65">
        <f t="shared" si="4"/>
        <v>359.42111852214714</v>
      </c>
      <c r="H47" s="66">
        <f t="shared" si="1"/>
        <v>0.14802862915074924</v>
      </c>
      <c r="I47" s="64">
        <f t="shared" si="2"/>
        <v>0.15936913864629956</v>
      </c>
      <c r="J47" s="66">
        <f t="shared" si="5"/>
        <v>0.06080430372818957</v>
      </c>
    </row>
    <row r="48" spans="1:10" ht="15">
      <c r="A48" s="32">
        <v>1973</v>
      </c>
      <c r="B48" s="64">
        <v>-0.14308047437526472</v>
      </c>
      <c r="C48" s="64">
        <v>0.06724999999999999</v>
      </c>
      <c r="D48" s="64">
        <v>0.036586646024150085</v>
      </c>
      <c r="E48" s="65">
        <f t="shared" si="4"/>
        <v>4080.444016268308</v>
      </c>
      <c r="F48" s="65">
        <f t="shared" si="4"/>
        <v>272.16242365963825</v>
      </c>
      <c r="G48" s="65">
        <f t="shared" si="4"/>
        <v>372.57113175912104</v>
      </c>
      <c r="H48" s="66">
        <f t="shared" si="1"/>
        <v>-0.2103304743752647</v>
      </c>
      <c r="I48" s="64">
        <f t="shared" si="2"/>
        <v>-0.1796671203994148</v>
      </c>
      <c r="J48" s="66">
        <f t="shared" si="5"/>
        <v>0.054960045718843054</v>
      </c>
    </row>
    <row r="49" spans="1:10" ht="15">
      <c r="A49" s="32">
        <v>1974</v>
      </c>
      <c r="B49" s="64">
        <v>-0.2590178575089697</v>
      </c>
      <c r="C49" s="64">
        <v>0.07777500000000001</v>
      </c>
      <c r="D49" s="64">
        <v>0.019886086932378574</v>
      </c>
      <c r="E49" s="65">
        <f t="shared" si="4"/>
        <v>3023.5361494891954</v>
      </c>
      <c r="F49" s="65">
        <f t="shared" si="4"/>
        <v>293.3298561597666</v>
      </c>
      <c r="G49" s="65">
        <f t="shared" si="4"/>
        <v>379.98011367377757</v>
      </c>
      <c r="H49" s="66">
        <f t="shared" si="1"/>
        <v>-0.3367928575089697</v>
      </c>
      <c r="I49" s="64">
        <f t="shared" si="2"/>
        <v>-0.2789039444413483</v>
      </c>
      <c r="J49" s="66">
        <f t="shared" si="5"/>
        <v>0.046417018581159875</v>
      </c>
    </row>
    <row r="50" spans="1:10" ht="15">
      <c r="A50" s="32">
        <v>1975</v>
      </c>
      <c r="B50" s="64">
        <v>0.36995137106184356</v>
      </c>
      <c r="C50" s="64">
        <v>0.0599</v>
      </c>
      <c r="D50" s="64">
        <v>0.03605253602603384</v>
      </c>
      <c r="E50" s="65">
        <f t="shared" si="4"/>
        <v>4142.097493447771</v>
      </c>
      <c r="F50" s="65">
        <f t="shared" si="4"/>
        <v>310.90031454373667</v>
      </c>
      <c r="G50" s="65">
        <f t="shared" si="4"/>
        <v>393.6793604111778</v>
      </c>
      <c r="H50" s="66">
        <f t="shared" si="1"/>
        <v>0.31005137106184355</v>
      </c>
      <c r="I50" s="64">
        <f t="shared" si="2"/>
        <v>0.33389883503580975</v>
      </c>
      <c r="J50" s="66">
        <f t="shared" si="5"/>
        <v>0.051706756781676244</v>
      </c>
    </row>
    <row r="51" spans="1:10" ht="15">
      <c r="A51" s="32">
        <v>1976</v>
      </c>
      <c r="B51" s="64">
        <v>0.23830999002106662</v>
      </c>
      <c r="C51" s="64">
        <v>0.04970000000000001</v>
      </c>
      <c r="D51" s="64">
        <v>0.1598456074290921</v>
      </c>
      <c r="E51" s="65">
        <f t="shared" si="4"/>
        <v>5129.200705777594</v>
      </c>
      <c r="F51" s="65">
        <f t="shared" si="4"/>
        <v>326.3520601765604</v>
      </c>
      <c r="G51" s="65">
        <f t="shared" si="4"/>
        <v>456.607276908399</v>
      </c>
      <c r="H51" s="66">
        <f t="shared" si="1"/>
        <v>0.1886099900210666</v>
      </c>
      <c r="I51" s="64">
        <f t="shared" si="2"/>
        <v>0.07846438259197452</v>
      </c>
      <c r="J51" s="66">
        <f t="shared" si="5"/>
        <v>0.05219658803895011</v>
      </c>
    </row>
    <row r="52" spans="1:10" ht="15">
      <c r="A52" s="32">
        <v>1977</v>
      </c>
      <c r="B52" s="64">
        <v>-0.06979704075935232</v>
      </c>
      <c r="C52" s="64">
        <v>0.051275</v>
      </c>
      <c r="D52" s="64">
        <v>0.012899606071070449</v>
      </c>
      <c r="E52" s="65">
        <f aca="true" t="shared" si="6" ref="E52:G67">E51*(1+B52)</f>
        <v>4771.197675053536</v>
      </c>
      <c r="F52" s="65">
        <f t="shared" si="6"/>
        <v>343.08576206211353</v>
      </c>
      <c r="G52" s="65">
        <f t="shared" si="6"/>
        <v>462.49733090970153</v>
      </c>
      <c r="H52" s="66">
        <f t="shared" si="1"/>
        <v>-0.12107204075935232</v>
      </c>
      <c r="I52" s="64">
        <f t="shared" si="2"/>
        <v>-0.08269664683042277</v>
      </c>
      <c r="J52" s="66">
        <f t="shared" si="5"/>
        <v>0.04926676135704655</v>
      </c>
    </row>
    <row r="53" spans="1:10" ht="15">
      <c r="A53" s="32">
        <v>1978</v>
      </c>
      <c r="B53" s="64">
        <v>0.0650928391167193</v>
      </c>
      <c r="C53" s="64">
        <v>0.06932500000000001</v>
      </c>
      <c r="D53" s="64">
        <v>-0.007775806907508648</v>
      </c>
      <c r="E53" s="65">
        <f t="shared" si="6"/>
        <v>5081.768477709861</v>
      </c>
      <c r="F53" s="65">
        <f t="shared" si="6"/>
        <v>366.87018251706957</v>
      </c>
      <c r="G53" s="65">
        <f t="shared" si="6"/>
        <v>458.9010409693096</v>
      </c>
      <c r="H53" s="66">
        <f t="shared" si="1"/>
        <v>-0.004232160883280711</v>
      </c>
      <c r="I53" s="64">
        <f t="shared" si="2"/>
        <v>0.07286864602422795</v>
      </c>
      <c r="J53" s="66">
        <f t="shared" si="5"/>
        <v>0.04974189891320324</v>
      </c>
    </row>
    <row r="54" spans="1:10" ht="15">
      <c r="A54" s="32">
        <v>1979</v>
      </c>
      <c r="B54" s="64">
        <v>0.18519490167516386</v>
      </c>
      <c r="C54" s="64">
        <v>0.099375</v>
      </c>
      <c r="D54" s="64">
        <v>0.006707203124723546</v>
      </c>
      <c r="E54" s="65">
        <f t="shared" si="6"/>
        <v>6022.886091275286</v>
      </c>
      <c r="F54" s="65">
        <f t="shared" si="6"/>
        <v>403.32790690470335</v>
      </c>
      <c r="G54" s="65">
        <f t="shared" si="6"/>
        <v>461.9789834652378</v>
      </c>
      <c r="H54" s="66">
        <f t="shared" si="1"/>
        <v>0.08581990167516386</v>
      </c>
      <c r="I54" s="64">
        <f t="shared" si="2"/>
        <v>0.17848769855044033</v>
      </c>
      <c r="J54" s="66">
        <f t="shared" si="5"/>
        <v>0.052132252828986925</v>
      </c>
    </row>
    <row r="55" spans="1:10" ht="15">
      <c r="A55" s="32">
        <v>1980</v>
      </c>
      <c r="B55" s="64">
        <v>0.3173524550676301</v>
      </c>
      <c r="C55" s="64">
        <v>0.1122</v>
      </c>
      <c r="D55" s="64">
        <v>-0.02989744251999403</v>
      </c>
      <c r="E55" s="65">
        <f t="shared" si="6"/>
        <v>7934.263778934181</v>
      </c>
      <c r="F55" s="65">
        <f t="shared" si="6"/>
        <v>448.5812980594111</v>
      </c>
      <c r="G55" s="65">
        <f t="shared" si="6"/>
        <v>448.16699336164055</v>
      </c>
      <c r="H55" s="66">
        <f t="shared" si="1"/>
        <v>0.2051524550676301</v>
      </c>
      <c r="I55" s="64">
        <f t="shared" si="2"/>
        <v>0.34724989758762415</v>
      </c>
      <c r="J55" s="66">
        <f t="shared" si="5"/>
        <v>0.05731870525758964</v>
      </c>
    </row>
    <row r="56" spans="1:10" ht="15">
      <c r="A56" s="32">
        <v>1981</v>
      </c>
      <c r="B56" s="64">
        <v>-0.04702390247495576</v>
      </c>
      <c r="C56" s="64">
        <v>0.143</v>
      </c>
      <c r="D56" s="64">
        <v>0.08199215335892354</v>
      </c>
      <c r="E56" s="65">
        <f t="shared" si="6"/>
        <v>7561.163732783006</v>
      </c>
      <c r="F56" s="65">
        <f t="shared" si="6"/>
        <v>512.7284236819069</v>
      </c>
      <c r="G56" s="65">
        <f t="shared" si="6"/>
        <v>484.91317021175587</v>
      </c>
      <c r="H56" s="66">
        <f t="shared" si="1"/>
        <v>-0.19002390247495576</v>
      </c>
      <c r="I56" s="64">
        <f t="shared" si="2"/>
        <v>-0.12901605583387932</v>
      </c>
      <c r="J56" s="66">
        <f t="shared" si="5"/>
        <v>0.05373099046864449</v>
      </c>
    </row>
    <row r="57" spans="1:10" ht="15">
      <c r="A57" s="32">
        <v>1982</v>
      </c>
      <c r="B57" s="64">
        <v>0.20419055079559353</v>
      </c>
      <c r="C57" s="64">
        <v>0.1101</v>
      </c>
      <c r="D57" s="64">
        <v>0.32814549486295586</v>
      </c>
      <c r="E57" s="65">
        <f t="shared" si="6"/>
        <v>9105.081920035633</v>
      </c>
      <c r="F57" s="65">
        <f t="shared" si="6"/>
        <v>569.1798231292848</v>
      </c>
      <c r="G57" s="65">
        <f t="shared" si="6"/>
        <v>644.0352424164572</v>
      </c>
      <c r="H57" s="66">
        <f t="shared" si="1"/>
        <v>0.09409055079559353</v>
      </c>
      <c r="I57" s="64">
        <f t="shared" si="2"/>
        <v>-0.12395494406736232</v>
      </c>
      <c r="J57" s="66">
        <f t="shared" si="5"/>
        <v>0.05103868869213968</v>
      </c>
    </row>
    <row r="58" spans="1:10" ht="15">
      <c r="A58" s="32">
        <v>1983</v>
      </c>
      <c r="B58" s="64">
        <v>0.22337155858930619</v>
      </c>
      <c r="C58" s="64">
        <v>0.084475</v>
      </c>
      <c r="D58" s="64">
        <v>0.032002094451429264</v>
      </c>
      <c r="E58" s="65">
        <f t="shared" si="6"/>
        <v>11138.898259597305</v>
      </c>
      <c r="F58" s="65">
        <f t="shared" si="6"/>
        <v>617.2612886881312</v>
      </c>
      <c r="G58" s="65">
        <f t="shared" si="6"/>
        <v>664.6457190743178</v>
      </c>
      <c r="H58" s="66">
        <f t="shared" si="1"/>
        <v>0.1388965585893062</v>
      </c>
      <c r="I58" s="64">
        <f t="shared" si="2"/>
        <v>0.19136946413787692</v>
      </c>
      <c r="J58" s="66">
        <f t="shared" si="5"/>
        <v>0.05340283065456397</v>
      </c>
    </row>
    <row r="59" spans="1:10" ht="15">
      <c r="A59" s="32">
        <v>1984</v>
      </c>
      <c r="B59" s="64">
        <v>0.0614614199963621</v>
      </c>
      <c r="C59" s="64">
        <v>0.096125</v>
      </c>
      <c r="D59" s="64">
        <v>0.13733364344102345</v>
      </c>
      <c r="E59" s="65">
        <f t="shared" si="6"/>
        <v>11823.510763827162</v>
      </c>
      <c r="F59" s="65">
        <f t="shared" si="6"/>
        <v>676.5955300632778</v>
      </c>
      <c r="G59" s="65">
        <f t="shared" si="6"/>
        <v>755.9239372722727</v>
      </c>
      <c r="H59" s="66">
        <f t="shared" si="1"/>
        <v>-0.0346635800036379</v>
      </c>
      <c r="I59" s="64">
        <f t="shared" si="2"/>
        <v>-0.07587222344466135</v>
      </c>
      <c r="J59" s="66">
        <f t="shared" si="5"/>
        <v>0.05121212631805139</v>
      </c>
    </row>
    <row r="60" spans="1:10" ht="15">
      <c r="A60" s="32">
        <v>1985</v>
      </c>
      <c r="B60" s="64">
        <v>0.3123514948576895</v>
      </c>
      <c r="C60" s="64">
        <v>0.074875</v>
      </c>
      <c r="D60" s="64">
        <v>0.2571248821260641</v>
      </c>
      <c r="E60" s="65">
        <f t="shared" si="6"/>
        <v>15516.60202537456</v>
      </c>
      <c r="F60" s="65">
        <f t="shared" si="6"/>
        <v>727.2556203767657</v>
      </c>
      <c r="G60" s="65">
        <f t="shared" si="6"/>
        <v>950.2907905396761</v>
      </c>
      <c r="H60" s="66">
        <f t="shared" si="1"/>
        <v>0.23747649485768949</v>
      </c>
      <c r="I60" s="64">
        <f t="shared" si="2"/>
        <v>0.05522661273162538</v>
      </c>
      <c r="J60" s="66">
        <f t="shared" si="5"/>
        <v>0.05128436510258161</v>
      </c>
    </row>
    <row r="61" spans="1:10" ht="15">
      <c r="A61" s="32">
        <v>1986</v>
      </c>
      <c r="B61" s="64">
        <v>0.18494578758046187</v>
      </c>
      <c r="C61" s="64">
        <v>0.06035</v>
      </c>
      <c r="D61" s="64">
        <v>0.24284215141767618</v>
      </c>
      <c r="E61" s="65">
        <f t="shared" si="6"/>
        <v>18386.332207530046</v>
      </c>
      <c r="F61" s="65">
        <f t="shared" si="6"/>
        <v>771.1454970665035</v>
      </c>
      <c r="G61" s="65">
        <f t="shared" si="6"/>
        <v>1181.0614505867354</v>
      </c>
      <c r="H61" s="66">
        <f t="shared" si="1"/>
        <v>0.12459578758046187</v>
      </c>
      <c r="I61" s="64">
        <f t="shared" si="2"/>
        <v>-0.057896363837214304</v>
      </c>
      <c r="J61" s="66">
        <f t="shared" si="5"/>
        <v>0.04966356559973906</v>
      </c>
    </row>
    <row r="62" spans="1:10" ht="15">
      <c r="A62" s="32">
        <v>1987</v>
      </c>
      <c r="B62" s="64">
        <v>0.05812721641821871</v>
      </c>
      <c r="C62" s="64">
        <v>0.057225</v>
      </c>
      <c r="D62" s="64">
        <v>-0.04960508937926228</v>
      </c>
      <c r="E62" s="65">
        <f t="shared" si="6"/>
        <v>19455.07851889441</v>
      </c>
      <c r="F62" s="65">
        <f t="shared" si="6"/>
        <v>815.2742981361342</v>
      </c>
      <c r="G62" s="65">
        <f t="shared" si="6"/>
        <v>1122.4747917679792</v>
      </c>
      <c r="H62" s="66">
        <f t="shared" si="1"/>
        <v>0.000902216418218714</v>
      </c>
      <c r="I62" s="64">
        <f t="shared" si="2"/>
        <v>0.107732305797481</v>
      </c>
      <c r="J62" s="66">
        <f t="shared" si="5"/>
        <v>0.05069359043750721</v>
      </c>
    </row>
    <row r="63" spans="1:10" ht="15">
      <c r="A63" s="32">
        <v>1988</v>
      </c>
      <c r="B63" s="64">
        <v>0.16537192812044688</v>
      </c>
      <c r="C63" s="64">
        <v>0.06449999999999999</v>
      </c>
      <c r="D63" s="64">
        <v>0.08223595843484167</v>
      </c>
      <c r="E63" s="65">
        <f t="shared" si="6"/>
        <v>22672.402365298665</v>
      </c>
      <c r="F63" s="65">
        <f t="shared" si="6"/>
        <v>867.8594903659149</v>
      </c>
      <c r="G63" s="65">
        <f t="shared" si="6"/>
        <v>1214.7825820879684</v>
      </c>
      <c r="H63" s="66">
        <f t="shared" si="1"/>
        <v>0.10087192812044689</v>
      </c>
      <c r="I63" s="64">
        <f t="shared" si="2"/>
        <v>0.0831359696856052</v>
      </c>
      <c r="J63" s="66">
        <f t="shared" si="5"/>
        <v>0.051199933578993884</v>
      </c>
    </row>
    <row r="64" spans="1:10" ht="15">
      <c r="A64" s="32">
        <v>1989</v>
      </c>
      <c r="B64" s="64">
        <v>0.31475183638196724</v>
      </c>
      <c r="C64" s="64">
        <v>0.08109999999999999</v>
      </c>
      <c r="D64" s="64">
        <v>0.17693647159446219</v>
      </c>
      <c r="E64" s="65">
        <f t="shared" si="6"/>
        <v>29808.58264496728</v>
      </c>
      <c r="F64" s="65">
        <f t="shared" si="6"/>
        <v>938.2428950345906</v>
      </c>
      <c r="G64" s="65">
        <f t="shared" si="6"/>
        <v>1429.7219259170236</v>
      </c>
      <c r="H64" s="66">
        <f t="shared" si="1"/>
        <v>0.23365183638196724</v>
      </c>
      <c r="I64" s="64">
        <f t="shared" si="2"/>
        <v>0.13781536478750506</v>
      </c>
      <c r="J64" s="66">
        <f t="shared" si="5"/>
        <v>0.05240982169336883</v>
      </c>
    </row>
    <row r="65" spans="1:10" ht="15">
      <c r="A65" s="32">
        <v>1990</v>
      </c>
      <c r="B65" s="64">
        <v>-0.03064451612903212</v>
      </c>
      <c r="C65" s="64">
        <v>0.07550000000000001</v>
      </c>
      <c r="D65" s="64">
        <v>0.06235375333553336</v>
      </c>
      <c r="E65" s="65">
        <f t="shared" si="6"/>
        <v>28895.113053319994</v>
      </c>
      <c r="F65" s="65">
        <f t="shared" si="6"/>
        <v>1009.0802336097021</v>
      </c>
      <c r="G65" s="65">
        <f t="shared" si="6"/>
        <v>1518.8704542240573</v>
      </c>
      <c r="H65" s="66">
        <f t="shared" si="1"/>
        <v>-0.10614451612903213</v>
      </c>
      <c r="I65" s="64">
        <f t="shared" si="2"/>
        <v>-0.09299826946456548</v>
      </c>
      <c r="J65" s="66">
        <f t="shared" si="5"/>
        <v>0.049979953137364364</v>
      </c>
    </row>
    <row r="66" spans="1:10" ht="15">
      <c r="A66" s="32">
        <v>1991</v>
      </c>
      <c r="B66" s="64">
        <v>0.3023484313487976</v>
      </c>
      <c r="C66" s="64">
        <v>0.05610000000000001</v>
      </c>
      <c r="D66" s="64">
        <v>0.15004510019517303</v>
      </c>
      <c r="E66" s="65">
        <f t="shared" si="6"/>
        <v>37631.50515863746</v>
      </c>
      <c r="F66" s="65">
        <f t="shared" si="6"/>
        <v>1065.6896347152065</v>
      </c>
      <c r="G66" s="65">
        <f t="shared" si="6"/>
        <v>1746.769523711594</v>
      </c>
      <c r="H66" s="66">
        <f t="shared" si="1"/>
        <v>0.24624843134879756</v>
      </c>
      <c r="I66" s="64">
        <f t="shared" si="2"/>
        <v>0.15230333115362454</v>
      </c>
      <c r="J66" s="66">
        <f t="shared" si="5"/>
        <v>0.0513850639844049</v>
      </c>
    </row>
    <row r="67" spans="1:10" ht="15">
      <c r="A67" s="32">
        <v>1992</v>
      </c>
      <c r="B67" s="64">
        <v>0.07493727972380064</v>
      </c>
      <c r="C67" s="64">
        <v>0.03405</v>
      </c>
      <c r="D67" s="64">
        <v>0.09361637316207942</v>
      </c>
      <c r="E67" s="65">
        <f t="shared" si="6"/>
        <v>40451.507787137925</v>
      </c>
      <c r="F67" s="65">
        <f t="shared" si="6"/>
        <v>1101.976366777259</v>
      </c>
      <c r="G67" s="65">
        <f t="shared" si="6"/>
        <v>1910.2957512715263</v>
      </c>
      <c r="H67" s="66">
        <f t="shared" si="1"/>
        <v>0.04088727972380064</v>
      </c>
      <c r="I67" s="64">
        <f t="shared" si="2"/>
        <v>-0.018679093438278782</v>
      </c>
      <c r="J67" s="66">
        <f t="shared" si="5"/>
        <v>0.050319857010869606</v>
      </c>
    </row>
    <row r="68" spans="1:10" ht="15">
      <c r="A68" s="32">
        <v>1993</v>
      </c>
      <c r="B68" s="64">
        <v>0.0996705147919488</v>
      </c>
      <c r="C68" s="64">
        <v>0.029825</v>
      </c>
      <c r="D68" s="64">
        <v>0.14210957589263107</v>
      </c>
      <c r="E68" s="65">
        <f aca="true" t="shared" si="7" ref="E68:G83">E67*(1+B68)</f>
        <v>44483.33039239249</v>
      </c>
      <c r="F68" s="65">
        <f t="shared" si="7"/>
        <v>1134.8428119163907</v>
      </c>
      <c r="G68" s="65">
        <f t="shared" si="7"/>
        <v>2181.7670703142176</v>
      </c>
      <c r="H68" s="66">
        <f aca="true" t="shared" si="8" ref="H68:H83">B68-C68</f>
        <v>0.0698455147919488</v>
      </c>
      <c r="I68" s="64">
        <f aca="true" t="shared" si="9" ref="I68:I83">B68-D68</f>
        <v>-0.04243906110068227</v>
      </c>
      <c r="J68" s="66">
        <f t="shared" si="5"/>
        <v>0.04897593793175847</v>
      </c>
    </row>
    <row r="69" spans="1:10" ht="15">
      <c r="A69" s="32">
        <v>1994</v>
      </c>
      <c r="B69" s="64">
        <v>0.013259206774573897</v>
      </c>
      <c r="C69" s="64">
        <v>0.039850000000000003</v>
      </c>
      <c r="D69" s="64">
        <v>-0.08036655550998592</v>
      </c>
      <c r="E69" s="65">
        <f t="shared" si="7"/>
        <v>45073.144068086905</v>
      </c>
      <c r="F69" s="65">
        <f t="shared" si="7"/>
        <v>1180.0662979712588</v>
      </c>
      <c r="G69" s="65">
        <f t="shared" si="7"/>
        <v>2006.4259659479505</v>
      </c>
      <c r="H69" s="66">
        <f t="shared" si="8"/>
        <v>-0.026590793225426106</v>
      </c>
      <c r="I69" s="64">
        <f t="shared" si="9"/>
        <v>0.09362576228455982</v>
      </c>
      <c r="J69" s="66">
        <f t="shared" si="5"/>
        <v>0.0497186361717199</v>
      </c>
    </row>
    <row r="70" spans="1:10" ht="15">
      <c r="A70" s="32">
        <v>1995</v>
      </c>
      <c r="B70" s="64">
        <v>0.3719519890260631</v>
      </c>
      <c r="C70" s="64">
        <v>0.055150000000000005</v>
      </c>
      <c r="D70" s="64">
        <v>0.23480780112538907</v>
      </c>
      <c r="E70" s="65">
        <f t="shared" si="7"/>
        <v>61838.18965587012</v>
      </c>
      <c r="F70" s="65">
        <f t="shared" si="7"/>
        <v>1245.1469543043738</v>
      </c>
      <c r="G70" s="65">
        <f t="shared" si="7"/>
        <v>2477.5504351330737</v>
      </c>
      <c r="H70" s="66">
        <f t="shared" si="8"/>
        <v>0.31680198902606305</v>
      </c>
      <c r="I70" s="64">
        <f t="shared" si="9"/>
        <v>0.137144187900674</v>
      </c>
      <c r="J70" s="66">
        <f t="shared" si="5"/>
        <v>0.05079145111941363</v>
      </c>
    </row>
    <row r="71" spans="1:10" ht="15">
      <c r="A71" s="32">
        <v>1996</v>
      </c>
      <c r="B71" s="64">
        <v>0.2268096601886579</v>
      </c>
      <c r="C71" s="64">
        <v>0.050225</v>
      </c>
      <c r="D71" s="64">
        <v>0.01428607793401844</v>
      </c>
      <c r="E71" s="65">
        <f t="shared" si="7"/>
        <v>75863.6884383998</v>
      </c>
      <c r="F71" s="65">
        <f t="shared" si="7"/>
        <v>1307.684460084311</v>
      </c>
      <c r="G71" s="65">
        <f t="shared" si="7"/>
        <v>2512.944913734846</v>
      </c>
      <c r="H71" s="66">
        <f t="shared" si="8"/>
        <v>0.1765846601886579</v>
      </c>
      <c r="I71" s="64">
        <f t="shared" si="9"/>
        <v>0.21252358225463946</v>
      </c>
      <c r="J71" s="66">
        <f t="shared" si="5"/>
        <v>0.05304503967737495</v>
      </c>
    </row>
    <row r="72" spans="1:10" ht="15">
      <c r="A72" s="32">
        <v>1997</v>
      </c>
      <c r="B72" s="64">
        <v>0.33103653103653097</v>
      </c>
      <c r="C72" s="64">
        <v>0.050525</v>
      </c>
      <c r="D72" s="64">
        <v>0.09939130272977531</v>
      </c>
      <c r="E72" s="65">
        <f t="shared" si="7"/>
        <v>100977.34069068384</v>
      </c>
      <c r="F72" s="65">
        <f t="shared" si="7"/>
        <v>1373.7552174300708</v>
      </c>
      <c r="G72" s="65">
        <f t="shared" si="7"/>
        <v>2762.7097823991153</v>
      </c>
      <c r="H72" s="66">
        <f t="shared" si="8"/>
        <v>0.280511531036531</v>
      </c>
      <c r="I72" s="64">
        <f t="shared" si="9"/>
        <v>0.23164522830675566</v>
      </c>
      <c r="J72" s="66">
        <f t="shared" si="5"/>
        <v>0.05531558490330357</v>
      </c>
    </row>
    <row r="73" spans="1:10" ht="15">
      <c r="A73" s="32">
        <v>1998</v>
      </c>
      <c r="B73" s="64">
        <v>0.28337953278443584</v>
      </c>
      <c r="C73" s="64">
        <v>0.047275</v>
      </c>
      <c r="D73" s="64">
        <v>0.14921431922606215</v>
      </c>
      <c r="E73" s="65">
        <f t="shared" si="7"/>
        <v>129592.25231742462</v>
      </c>
      <c r="F73" s="65">
        <f t="shared" si="7"/>
        <v>1438.6994953340775</v>
      </c>
      <c r="G73" s="65">
        <f t="shared" si="7"/>
        <v>3174.945641798982</v>
      </c>
      <c r="H73" s="66">
        <f t="shared" si="8"/>
        <v>0.23610453278443583</v>
      </c>
      <c r="I73" s="64">
        <f t="shared" si="9"/>
        <v>0.13416521355837369</v>
      </c>
      <c r="J73" s="66">
        <f t="shared" si="5"/>
        <v>0.056306048135548625</v>
      </c>
    </row>
    <row r="74" spans="1:10" ht="15">
      <c r="A74" s="32">
        <v>1999</v>
      </c>
      <c r="B74" s="64">
        <v>0.20885350992084475</v>
      </c>
      <c r="C74" s="64">
        <v>0.0451</v>
      </c>
      <c r="D74" s="64">
        <v>-0.08254214796268576</v>
      </c>
      <c r="E74" s="65">
        <f t="shared" si="7"/>
        <v>156658.0490724665</v>
      </c>
      <c r="F74" s="65">
        <f t="shared" si="7"/>
        <v>1503.5848425736442</v>
      </c>
      <c r="G74" s="65">
        <f t="shared" si="7"/>
        <v>2912.878808860126</v>
      </c>
      <c r="H74" s="66">
        <f t="shared" si="8"/>
        <v>0.16375350992084475</v>
      </c>
      <c r="I74" s="64">
        <f t="shared" si="9"/>
        <v>0.2913956578835305</v>
      </c>
      <c r="J74" s="66">
        <f t="shared" si="5"/>
        <v>0.05963469481832018</v>
      </c>
    </row>
    <row r="75" spans="1:10" ht="15">
      <c r="A75" s="32">
        <v>2000</v>
      </c>
      <c r="B75" s="64">
        <v>-0.09031818955249278</v>
      </c>
      <c r="C75" s="64">
        <v>0.057625</v>
      </c>
      <c r="D75" s="64">
        <v>0.16655267125397488</v>
      </c>
      <c r="E75" s="65">
        <f t="shared" si="7"/>
        <v>142508.97770141574</v>
      </c>
      <c r="F75" s="65">
        <f t="shared" si="7"/>
        <v>1590.2289191269506</v>
      </c>
      <c r="G75" s="65">
        <f t="shared" si="7"/>
        <v>3398.0265555148762</v>
      </c>
      <c r="H75" s="66">
        <f t="shared" si="8"/>
        <v>-0.14794318955249278</v>
      </c>
      <c r="I75" s="64">
        <f t="shared" si="9"/>
        <v>-0.25687086080646765</v>
      </c>
      <c r="J75" s="66">
        <f t="shared" si="5"/>
        <v>0.055111895842923087</v>
      </c>
    </row>
    <row r="76" spans="1:10" ht="15">
      <c r="A76" s="32">
        <v>2001</v>
      </c>
      <c r="B76" s="64">
        <v>-0.11849759142000185</v>
      </c>
      <c r="C76" s="64">
        <v>0.036725</v>
      </c>
      <c r="D76" s="64">
        <v>0.055721811892492555</v>
      </c>
      <c r="E76" s="65">
        <f t="shared" si="7"/>
        <v>125622.00708807123</v>
      </c>
      <c r="F76" s="65">
        <f t="shared" si="7"/>
        <v>1648.6300761818877</v>
      </c>
      <c r="G76" s="65">
        <f t="shared" si="7"/>
        <v>3587.37075204697</v>
      </c>
      <c r="H76" s="66">
        <f t="shared" si="8"/>
        <v>-0.15522259142000186</v>
      </c>
      <c r="I76" s="64">
        <f t="shared" si="9"/>
        <v>-0.17421940331249441</v>
      </c>
      <c r="J76" s="66">
        <f t="shared" si="5"/>
        <v>0.051665345512908356</v>
      </c>
    </row>
    <row r="77" spans="1:10" ht="15">
      <c r="A77" s="32">
        <v>2002</v>
      </c>
      <c r="B77" s="64">
        <v>-0.219660479579127</v>
      </c>
      <c r="C77" s="64">
        <v>0.016575</v>
      </c>
      <c r="D77" s="64">
        <v>0.15116400378109285</v>
      </c>
      <c r="E77" s="65">
        <f t="shared" si="7"/>
        <v>98027.81676541301</v>
      </c>
      <c r="F77" s="65">
        <f t="shared" si="7"/>
        <v>1675.9561196946024</v>
      </c>
      <c r="G77" s="65">
        <f t="shared" si="7"/>
        <v>4129.65207797358</v>
      </c>
      <c r="H77" s="66">
        <f t="shared" si="8"/>
        <v>-0.236235479579127</v>
      </c>
      <c r="I77" s="64">
        <f t="shared" si="9"/>
        <v>-0.37082448336021984</v>
      </c>
      <c r="J77" s="66">
        <f t="shared" si="5"/>
        <v>0.045325449773477855</v>
      </c>
    </row>
    <row r="78" spans="1:10" ht="15">
      <c r="A78" s="32">
        <v>2003</v>
      </c>
      <c r="B78" s="64">
        <v>0.2835580005001023</v>
      </c>
      <c r="C78" s="64">
        <v>0.0103</v>
      </c>
      <c r="D78" s="64">
        <v>0.003753185881775853</v>
      </c>
      <c r="E78" s="65">
        <f t="shared" si="7"/>
        <v>125824.38848080393</v>
      </c>
      <c r="F78" s="65">
        <f t="shared" si="7"/>
        <v>1693.2184677274568</v>
      </c>
      <c r="G78" s="65">
        <f t="shared" si="7"/>
        <v>4145.151429849277</v>
      </c>
      <c r="H78" s="66">
        <f t="shared" si="8"/>
        <v>0.27325800050010235</v>
      </c>
      <c r="I78" s="64">
        <f t="shared" si="9"/>
        <v>0.27980481461832646</v>
      </c>
      <c r="J78" s="66">
        <f t="shared" si="5"/>
        <v>0.048237796117156506</v>
      </c>
    </row>
    <row r="79" spans="1:10" ht="15">
      <c r="A79" s="32">
        <v>2004</v>
      </c>
      <c r="B79" s="64">
        <v>0.10742775944096193</v>
      </c>
      <c r="C79" s="64">
        <v>0.012275000000000001</v>
      </c>
      <c r="D79" s="64">
        <v>0.04490683702274547</v>
      </c>
      <c r="E79" s="65">
        <f t="shared" si="7"/>
        <v>139341.42061832585</v>
      </c>
      <c r="F79" s="65">
        <f t="shared" si="7"/>
        <v>1714.0027244188113</v>
      </c>
      <c r="G79" s="65">
        <f t="shared" si="7"/>
        <v>4331.297069544118</v>
      </c>
      <c r="H79" s="66">
        <f t="shared" si="8"/>
        <v>0.09515275944096194</v>
      </c>
      <c r="I79" s="64">
        <f t="shared" si="9"/>
        <v>0.06252092241821647</v>
      </c>
      <c r="J79" s="66">
        <f t="shared" si="5"/>
        <v>0.04842299846885445</v>
      </c>
    </row>
    <row r="80" spans="1:10" ht="15">
      <c r="A80" s="32">
        <v>2005</v>
      </c>
      <c r="B80" s="64">
        <v>0.048344775232688535</v>
      </c>
      <c r="C80" s="64">
        <v>0.0301</v>
      </c>
      <c r="D80" s="64">
        <v>0.028675329597779506</v>
      </c>
      <c r="E80" s="65">
        <f t="shared" si="7"/>
        <v>146077.8502787223</v>
      </c>
      <c r="F80" s="65">
        <f t="shared" si="7"/>
        <v>1765.5942064238177</v>
      </c>
      <c r="G80" s="65">
        <f t="shared" si="7"/>
        <v>4455.498440599193</v>
      </c>
      <c r="H80" s="66">
        <f t="shared" si="8"/>
        <v>0.018244775232688536</v>
      </c>
      <c r="I80" s="64">
        <f t="shared" si="9"/>
        <v>0.01966944563490903</v>
      </c>
      <c r="J80" s="66">
        <f t="shared" si="5"/>
        <v>0.04804218940225513</v>
      </c>
    </row>
    <row r="81" spans="1:10" ht="15">
      <c r="A81" s="32">
        <v>2006</v>
      </c>
      <c r="B81" s="64">
        <v>0.15612557979315703</v>
      </c>
      <c r="C81" s="64">
        <v>0.046775000000000004</v>
      </c>
      <c r="D81" s="64">
        <v>0.019610012417568386</v>
      </c>
      <c r="E81" s="65">
        <f t="shared" si="7"/>
        <v>168884.33934842583</v>
      </c>
      <c r="F81" s="65">
        <f t="shared" si="7"/>
        <v>1848.1798754292918</v>
      </c>
      <c r="G81" s="65">
        <f t="shared" si="7"/>
        <v>4542.8708203458</v>
      </c>
      <c r="H81" s="66">
        <f t="shared" si="8"/>
        <v>0.10935057979315702</v>
      </c>
      <c r="I81" s="64">
        <f t="shared" si="9"/>
        <v>0.13651556737558865</v>
      </c>
      <c r="J81" s="66">
        <f t="shared" si="5"/>
        <v>0.04914903600480591</v>
      </c>
    </row>
    <row r="82" spans="1:10" ht="15">
      <c r="A82" s="32">
        <v>2007</v>
      </c>
      <c r="B82" s="64">
        <v>0.054847352464217694</v>
      </c>
      <c r="C82" s="64">
        <v>0.046425</v>
      </c>
      <c r="D82" s="64">
        <v>0.10209921930012807</v>
      </c>
      <c r="E82" s="65">
        <f t="shared" si="7"/>
        <v>178147.19823435548</v>
      </c>
      <c r="F82" s="65">
        <f t="shared" si="7"/>
        <v>1933.9816261460965</v>
      </c>
      <c r="G82" s="65">
        <f t="shared" si="7"/>
        <v>5006.694384484438</v>
      </c>
      <c r="H82" s="66">
        <f t="shared" si="8"/>
        <v>0.008422352464217693</v>
      </c>
      <c r="I82" s="64">
        <f t="shared" si="9"/>
        <v>-0.04725186683591037</v>
      </c>
      <c r="J82" s="66">
        <f t="shared" si="5"/>
        <v>0.047948712238125024</v>
      </c>
    </row>
    <row r="83" spans="1:10" ht="15">
      <c r="A83" s="32">
        <v>2008</v>
      </c>
      <c r="B83" s="64">
        <v>-0.3655234411179819</v>
      </c>
      <c r="C83" s="64">
        <v>0.01585</v>
      </c>
      <c r="D83" s="64">
        <v>0.20101279926977011</v>
      </c>
      <c r="E83" s="65">
        <f t="shared" si="7"/>
        <v>113030.22131020659</v>
      </c>
      <c r="F83" s="65">
        <f t="shared" si="7"/>
        <v>1964.635234920512</v>
      </c>
      <c r="G83" s="65">
        <f t="shared" si="7"/>
        <v>6013.104037797893</v>
      </c>
      <c r="H83" s="66">
        <f t="shared" si="8"/>
        <v>-0.3813734411179819</v>
      </c>
      <c r="I83" s="64">
        <f t="shared" si="9"/>
        <v>-0.5665362403877521</v>
      </c>
      <c r="J83" s="66">
        <f t="shared" si="5"/>
        <v>0.0387958688686898</v>
      </c>
    </row>
    <row r="84" spans="1:10" ht="15">
      <c r="A84" s="32">
        <v>2009</v>
      </c>
      <c r="B84" s="64">
        <v>0.2593523387766398</v>
      </c>
      <c r="C84" s="64">
        <v>0.00135</v>
      </c>
      <c r="D84" s="64">
        <v>-0.11116695313259162</v>
      </c>
      <c r="E84" s="65">
        <f aca="true" t="shared" si="10" ref="E84:G86">E83*(1+B84)</f>
        <v>142344.87355944986</v>
      </c>
      <c r="F84" s="65">
        <f t="shared" si="10"/>
        <v>1967.2874924876546</v>
      </c>
      <c r="G84" s="65">
        <f t="shared" si="10"/>
        <v>5344.6455830466175</v>
      </c>
      <c r="H84" s="66">
        <f>B84-C84</f>
        <v>0.2580023387766398</v>
      </c>
      <c r="I84" s="64">
        <f>B84-D84</f>
        <v>0.37051929190923144</v>
      </c>
      <c r="J84" s="66">
        <f t="shared" si="5"/>
        <v>0.04286850613334847</v>
      </c>
    </row>
    <row r="85" spans="1:10" ht="15">
      <c r="A85" s="32">
        <v>2010</v>
      </c>
      <c r="B85" s="64">
        <v>0.14821092278719414</v>
      </c>
      <c r="C85" s="64">
        <v>0.0013</v>
      </c>
      <c r="D85" s="64">
        <v>0.08462933880355772</v>
      </c>
      <c r="E85" s="65">
        <f t="shared" si="10"/>
        <v>163441.9386237224</v>
      </c>
      <c r="F85" s="65">
        <f t="shared" si="10"/>
        <v>1969.8449662278888</v>
      </c>
      <c r="G85" s="65">
        <f>G84*(1+D85)</f>
        <v>5796.959404879208</v>
      </c>
      <c r="H85" s="66">
        <f>B85-C85</f>
        <v>0.14691092278719414</v>
      </c>
      <c r="I85" s="64">
        <f>B85-D85</f>
        <v>0.06358158398363642</v>
      </c>
      <c r="J85" s="66">
        <f t="shared" si="5"/>
        <v>0.04310851643347546</v>
      </c>
    </row>
    <row r="86" spans="1:10" ht="15">
      <c r="A86" s="32">
        <v>2011</v>
      </c>
      <c r="B86" s="64">
        <v>0.0209837473362805</v>
      </c>
      <c r="C86" s="64">
        <v>0.0003</v>
      </c>
      <c r="D86" s="64">
        <v>0.16035334999461354</v>
      </c>
      <c r="E86" s="65">
        <f t="shared" si="10"/>
        <v>166871.5629679545</v>
      </c>
      <c r="F86" s="65">
        <f t="shared" si="10"/>
        <v>1970.435919717757</v>
      </c>
      <c r="G86" s="65">
        <f>G85*(1+D86)</f>
        <v>6726.52126523437</v>
      </c>
      <c r="H86" s="66">
        <f>B86-C86</f>
        <v>0.0206837473362805</v>
      </c>
      <c r="I86" s="64">
        <f>B86-D86</f>
        <v>-0.13936960265833304</v>
      </c>
      <c r="J86" s="66">
        <f t="shared" si="5"/>
        <v>0.04097042900424852</v>
      </c>
    </row>
    <row r="87" spans="1:10" ht="15">
      <c r="A87" s="32">
        <v>2012</v>
      </c>
      <c r="B87" s="64">
        <v>0.15890585241730293</v>
      </c>
      <c r="C87" s="64">
        <v>0.0005</v>
      </c>
      <c r="D87" s="64">
        <v>0.02971571978018946</v>
      </c>
      <c r="E87" s="65">
        <f>E86*(1+B87)</f>
        <v>193388.43092558492</v>
      </c>
      <c r="F87" s="65">
        <f>F86*(1+C87)</f>
        <v>1971.421137677616</v>
      </c>
      <c r="G87" s="65">
        <f>G86*(1+D87)</f>
        <v>6926.40468624756</v>
      </c>
      <c r="H87" s="66">
        <f>B87-C87</f>
        <v>0.15840585241730293</v>
      </c>
      <c r="I87" s="64">
        <f>B87-D87</f>
        <v>0.12919013263711346</v>
      </c>
      <c r="J87" s="66">
        <f t="shared" si="5"/>
        <v>0.041988275684727405</v>
      </c>
    </row>
    <row r="88" spans="1:10" ht="15">
      <c r="A88" s="67">
        <v>2013</v>
      </c>
      <c r="B88" s="64">
        <v>0.32145085858125483</v>
      </c>
      <c r="C88" s="68">
        <v>0.00066</v>
      </c>
      <c r="D88" s="64">
        <v>-0.09104568794347262</v>
      </c>
      <c r="E88" s="65">
        <f>E87*(1+B88)</f>
        <v>255553.30808629587</v>
      </c>
      <c r="F88" s="65">
        <f>F87*(1+C88)</f>
        <v>1972.7222756284834</v>
      </c>
      <c r="G88" s="65">
        <f>G87*(1+D88)</f>
        <v>6295.785406613258</v>
      </c>
      <c r="H88" s="66">
        <f>B88-C88</f>
        <v>0.32079085858125483</v>
      </c>
      <c r="I88" s="64">
        <f>B88-D88</f>
        <v>0.41249654652472745</v>
      </c>
      <c r="J88" s="66">
        <f t="shared" si="5"/>
        <v>0.04617680941872315</v>
      </c>
    </row>
    <row r="89" spans="1:10" ht="15">
      <c r="A89" s="67">
        <v>2014</v>
      </c>
      <c r="B89" s="64">
        <v>0.1347735289662188</v>
      </c>
      <c r="C89" s="68">
        <v>0.00053</v>
      </c>
      <c r="D89" s="64">
        <v>0.10746180452004755</v>
      </c>
      <c r="E89" s="65">
        <v>289995.12925607734</v>
      </c>
      <c r="F89" s="65">
        <v>1973.7678184345664</v>
      </c>
      <c r="G89" s="65">
        <v>6972.341867278899</v>
      </c>
      <c r="H89" s="66">
        <v>0.1342435289662188</v>
      </c>
      <c r="I89" s="64">
        <v>0.02731172444617125</v>
      </c>
      <c r="J89" s="66">
        <v>0.045969805259763685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D93" sqref="D93"/>
    </sheetView>
  </sheetViews>
  <sheetFormatPr defaultColWidth="11.00390625" defaultRowHeight="12.75"/>
  <sheetData>
    <row r="1" spans="1:7" ht="12.75">
      <c r="A1" s="54" t="s">
        <v>92</v>
      </c>
      <c r="B1" s="58" t="s">
        <v>93</v>
      </c>
      <c r="C1" s="58" t="s">
        <v>83</v>
      </c>
      <c r="D1" s="58" t="s">
        <v>94</v>
      </c>
      <c r="E1" s="55" t="s">
        <v>95</v>
      </c>
      <c r="F1" s="55" t="s">
        <v>96</v>
      </c>
      <c r="G1" s="55" t="s">
        <v>97</v>
      </c>
    </row>
    <row r="2" spans="1:7" ht="12.75">
      <c r="A2" s="54">
        <v>1954</v>
      </c>
      <c r="B2" s="56">
        <v>0.025099999999999997</v>
      </c>
      <c r="C2" s="56">
        <v>-0.0037216</v>
      </c>
      <c r="D2" s="56">
        <v>0.0278666</v>
      </c>
      <c r="E2" s="56">
        <f>C2+D2</f>
        <v>0.024145</v>
      </c>
      <c r="F2" s="56">
        <f>B2-E2</f>
        <v>0.0009549999999999975</v>
      </c>
      <c r="G2" s="56">
        <f aca="true" t="shared" si="0" ref="G2:G33">AVERAGE(E2:E6)</f>
        <v>0.043228079999999995</v>
      </c>
    </row>
    <row r="3" spans="1:7" ht="12.75">
      <c r="A3" s="54">
        <f>A2+1</f>
        <v>1955</v>
      </c>
      <c r="B3" s="56">
        <v>0.0296</v>
      </c>
      <c r="C3" s="56">
        <v>0.0037355</v>
      </c>
      <c r="D3" s="56">
        <v>0.0657391</v>
      </c>
      <c r="E3" s="56">
        <f aca="true" t="shared" si="1" ref="E3:E60">C3+D3</f>
        <v>0.0694746</v>
      </c>
      <c r="F3" s="56">
        <f aca="true" t="shared" si="2" ref="F3:F60">B3-E3</f>
        <v>-0.039874599999999996</v>
      </c>
      <c r="G3" s="56">
        <f t="shared" si="0"/>
        <v>0.051119099999999994</v>
      </c>
    </row>
    <row r="4" spans="1:7" ht="12.75">
      <c r="A4" s="54">
        <f aca="true" t="shared" si="3" ref="A4:A60">A3+1</f>
        <v>1956</v>
      </c>
      <c r="B4" s="56">
        <v>0.0359</v>
      </c>
      <c r="C4" s="56">
        <v>0.0282843</v>
      </c>
      <c r="D4" s="56">
        <v>0.018379</v>
      </c>
      <c r="E4" s="56">
        <f t="shared" si="1"/>
        <v>0.0466633</v>
      </c>
      <c r="F4" s="56">
        <f t="shared" si="2"/>
        <v>-0.010763299999999996</v>
      </c>
      <c r="G4" s="56">
        <f t="shared" si="0"/>
        <v>0.041194879999999996</v>
      </c>
    </row>
    <row r="5" spans="1:7" ht="12.75">
      <c r="A5" s="54">
        <f t="shared" si="3"/>
        <v>1957</v>
      </c>
      <c r="B5" s="56">
        <v>0.0321</v>
      </c>
      <c r="C5" s="56">
        <v>0.030401699999999997</v>
      </c>
      <c r="D5" s="56">
        <v>0.002711</v>
      </c>
      <c r="E5" s="56">
        <f t="shared" si="1"/>
        <v>0.033112699999999995</v>
      </c>
      <c r="F5" s="56">
        <f t="shared" si="2"/>
        <v>-0.0010126999999999983</v>
      </c>
      <c r="G5" s="56">
        <f t="shared" si="0"/>
        <v>0.045710299999999995</v>
      </c>
    </row>
    <row r="6" spans="1:7" ht="12.75">
      <c r="A6" s="54">
        <f t="shared" si="3"/>
        <v>1958</v>
      </c>
      <c r="B6" s="56">
        <v>0.038599999999999995</v>
      </c>
      <c r="C6" s="56">
        <v>0.0175623</v>
      </c>
      <c r="D6" s="56">
        <v>0.0251825</v>
      </c>
      <c r="E6" s="56">
        <f t="shared" si="1"/>
        <v>0.0427448</v>
      </c>
      <c r="F6" s="56">
        <f t="shared" si="2"/>
        <v>-0.004144800000000004</v>
      </c>
      <c r="G6" s="56">
        <f t="shared" si="0"/>
        <v>0.04979478</v>
      </c>
    </row>
    <row r="7" spans="1:7" ht="12.75">
      <c r="A7" s="54">
        <f t="shared" si="3"/>
        <v>1959</v>
      </c>
      <c r="B7" s="56">
        <v>0.046900000000000004</v>
      </c>
      <c r="C7" s="56">
        <v>0.0151881</v>
      </c>
      <c r="D7" s="56">
        <v>0.048412</v>
      </c>
      <c r="E7" s="56">
        <f t="shared" si="1"/>
        <v>0.06360009999999999</v>
      </c>
      <c r="F7" s="56">
        <f t="shared" si="2"/>
        <v>-0.01670009999999999</v>
      </c>
      <c r="G7" s="56">
        <f t="shared" si="0"/>
        <v>0.05514464</v>
      </c>
    </row>
    <row r="8" spans="1:7" ht="12.75">
      <c r="A8" s="54">
        <f t="shared" si="3"/>
        <v>1960</v>
      </c>
      <c r="B8" s="56">
        <v>0.0384</v>
      </c>
      <c r="C8" s="56">
        <v>0.0136008</v>
      </c>
      <c r="D8" s="56">
        <v>0.0062527</v>
      </c>
      <c r="E8" s="56">
        <f t="shared" si="1"/>
        <v>0.0198535</v>
      </c>
      <c r="F8" s="56">
        <f t="shared" si="2"/>
        <v>0.018546499999999997</v>
      </c>
      <c r="G8" s="56">
        <f t="shared" si="0"/>
        <v>0.055047219999999994</v>
      </c>
    </row>
    <row r="9" spans="1:7" ht="12.75">
      <c r="A9" s="54">
        <f t="shared" si="3"/>
        <v>1961</v>
      </c>
      <c r="B9" s="56">
        <v>0.0406</v>
      </c>
      <c r="C9" s="56">
        <v>0.006709199999999999</v>
      </c>
      <c r="D9" s="56">
        <v>0.0625312</v>
      </c>
      <c r="E9" s="56">
        <f t="shared" si="1"/>
        <v>0.0692404</v>
      </c>
      <c r="F9" s="56">
        <f t="shared" si="2"/>
        <v>-0.028640399999999996</v>
      </c>
      <c r="G9" s="56">
        <f t="shared" si="0"/>
        <v>0.07193606</v>
      </c>
    </row>
    <row r="10" spans="1:7" ht="12.75">
      <c r="A10" s="54">
        <f t="shared" si="3"/>
        <v>1962</v>
      </c>
      <c r="B10" s="56">
        <v>0.038599999999999995</v>
      </c>
      <c r="C10" s="56">
        <v>0.0123292</v>
      </c>
      <c r="D10" s="56">
        <v>0.0412059</v>
      </c>
      <c r="E10" s="56">
        <f t="shared" si="1"/>
        <v>0.053535099999999995</v>
      </c>
      <c r="F10" s="56">
        <f t="shared" si="2"/>
        <v>-0.0149351</v>
      </c>
      <c r="G10" s="56">
        <f t="shared" si="0"/>
        <v>0.07342878</v>
      </c>
    </row>
    <row r="11" spans="1:7" ht="12.75">
      <c r="A11" s="54">
        <f t="shared" si="3"/>
        <v>1963</v>
      </c>
      <c r="B11" s="56">
        <v>0.041299999999999996</v>
      </c>
      <c r="C11" s="56">
        <v>0.0164582</v>
      </c>
      <c r="D11" s="56">
        <v>0.0530359</v>
      </c>
      <c r="E11" s="56">
        <f t="shared" si="1"/>
        <v>0.0694941</v>
      </c>
      <c r="F11" s="56">
        <f t="shared" si="2"/>
        <v>-0.028194100000000007</v>
      </c>
      <c r="G11" s="56">
        <f t="shared" si="0"/>
        <v>0.07425066</v>
      </c>
    </row>
    <row r="12" spans="1:7" ht="12.75">
      <c r="A12" s="54">
        <f t="shared" si="3"/>
        <v>1964</v>
      </c>
      <c r="B12" s="56">
        <v>0.0418</v>
      </c>
      <c r="C12" s="56">
        <v>0.0119819</v>
      </c>
      <c r="D12" s="56">
        <v>0.0511311</v>
      </c>
      <c r="E12" s="56">
        <f t="shared" si="1"/>
        <v>0.063113</v>
      </c>
      <c r="F12" s="56">
        <f t="shared" si="2"/>
        <v>-0.021313000000000006</v>
      </c>
      <c r="G12" s="56">
        <f t="shared" si="0"/>
        <v>0.0796741</v>
      </c>
    </row>
    <row r="13" spans="1:7" ht="12.75">
      <c r="A13" s="54">
        <f t="shared" si="3"/>
        <v>1965</v>
      </c>
      <c r="B13" s="56">
        <v>0.0462</v>
      </c>
      <c r="C13" s="56">
        <v>0.0192</v>
      </c>
      <c r="D13" s="56">
        <v>0.0850977</v>
      </c>
      <c r="E13" s="56">
        <f t="shared" si="1"/>
        <v>0.1042977</v>
      </c>
      <c r="F13" s="56">
        <f t="shared" si="2"/>
        <v>-0.058097699999999995</v>
      </c>
      <c r="G13" s="56">
        <f t="shared" si="0"/>
        <v>0.08291662</v>
      </c>
    </row>
    <row r="14" spans="1:7" ht="12.75">
      <c r="A14" s="54">
        <f t="shared" si="3"/>
        <v>1966</v>
      </c>
      <c r="B14" s="56">
        <v>0.0484</v>
      </c>
      <c r="C14" s="56">
        <v>0.033595</v>
      </c>
      <c r="D14" s="56">
        <v>0.043109</v>
      </c>
      <c r="E14" s="56">
        <f t="shared" si="1"/>
        <v>0.076704</v>
      </c>
      <c r="F14" s="56">
        <f t="shared" si="2"/>
        <v>-0.028303999999999996</v>
      </c>
      <c r="G14" s="56">
        <f t="shared" si="0"/>
        <v>0.07288778</v>
      </c>
    </row>
    <row r="15" spans="1:7" ht="12.75">
      <c r="A15" s="54">
        <f t="shared" si="3"/>
        <v>1967</v>
      </c>
      <c r="B15" s="56">
        <v>0.057</v>
      </c>
      <c r="C15" s="56">
        <v>0.0328068</v>
      </c>
      <c r="D15" s="56">
        <v>0.024837699999999997</v>
      </c>
      <c r="E15" s="56">
        <f t="shared" si="1"/>
        <v>0.057644499999999994</v>
      </c>
      <c r="F15" s="56">
        <f t="shared" si="2"/>
        <v>-0.0006444999999999923</v>
      </c>
      <c r="G15" s="56">
        <f t="shared" si="0"/>
        <v>0.072991</v>
      </c>
    </row>
    <row r="16" spans="1:7" ht="12.75">
      <c r="A16" s="54">
        <f t="shared" si="3"/>
        <v>1968</v>
      </c>
      <c r="B16" s="56">
        <v>0.0603</v>
      </c>
      <c r="C16" s="56">
        <v>0.0470588</v>
      </c>
      <c r="D16" s="56">
        <v>0.049552500000000006</v>
      </c>
      <c r="E16" s="56">
        <f t="shared" si="1"/>
        <v>0.09661130000000001</v>
      </c>
      <c r="F16" s="56">
        <f t="shared" si="2"/>
        <v>-0.03631130000000001</v>
      </c>
      <c r="G16" s="56">
        <f t="shared" si="0"/>
        <v>0.08214082</v>
      </c>
    </row>
    <row r="17" spans="1:7" ht="12.75">
      <c r="A17" s="54">
        <f t="shared" si="3"/>
        <v>1969</v>
      </c>
      <c r="B17" s="56">
        <v>0.0765</v>
      </c>
      <c r="C17" s="56">
        <v>0.0589888</v>
      </c>
      <c r="D17" s="56">
        <v>0.0203368</v>
      </c>
      <c r="E17" s="56">
        <f t="shared" si="1"/>
        <v>0.0793256</v>
      </c>
      <c r="F17" s="56">
        <f t="shared" si="2"/>
        <v>-0.0028255999999999976</v>
      </c>
      <c r="G17" s="56">
        <f t="shared" si="0"/>
        <v>0.08904952</v>
      </c>
    </row>
    <row r="18" spans="1:7" ht="12.75">
      <c r="A18" s="54">
        <f t="shared" si="3"/>
        <v>1970</v>
      </c>
      <c r="B18" s="56">
        <v>0.0639</v>
      </c>
      <c r="C18" s="56">
        <v>0.0557029</v>
      </c>
      <c r="D18" s="56">
        <v>-0.0015494</v>
      </c>
      <c r="E18" s="56">
        <f t="shared" si="1"/>
        <v>0.0541535</v>
      </c>
      <c r="F18" s="56">
        <f t="shared" si="2"/>
        <v>0.009746499999999998</v>
      </c>
      <c r="G18" s="56">
        <f t="shared" si="0"/>
        <v>0.09338966</v>
      </c>
    </row>
    <row r="19" spans="1:7" ht="12.75">
      <c r="A19" s="54">
        <f t="shared" si="3"/>
        <v>1971</v>
      </c>
      <c r="B19" s="56">
        <v>0.0593</v>
      </c>
      <c r="C19" s="56">
        <v>0.0326633</v>
      </c>
      <c r="D19" s="56">
        <v>0.0445568</v>
      </c>
      <c r="E19" s="56">
        <f t="shared" si="1"/>
        <v>0.0772201</v>
      </c>
      <c r="F19" s="56">
        <f t="shared" si="2"/>
        <v>-0.0179201</v>
      </c>
      <c r="G19" s="56">
        <f t="shared" si="0"/>
        <v>0.10189322</v>
      </c>
    </row>
    <row r="20" spans="1:7" ht="12.75">
      <c r="A20" s="54">
        <f t="shared" si="3"/>
        <v>1972</v>
      </c>
      <c r="B20" s="56">
        <v>0.0636</v>
      </c>
      <c r="C20" s="56">
        <v>0.0340633</v>
      </c>
      <c r="D20" s="56">
        <v>0.0693303</v>
      </c>
      <c r="E20" s="56">
        <f t="shared" si="1"/>
        <v>0.1033936</v>
      </c>
      <c r="F20" s="56">
        <f t="shared" si="2"/>
        <v>-0.0397936</v>
      </c>
      <c r="G20" s="56">
        <f t="shared" si="0"/>
        <v>0.10511906</v>
      </c>
    </row>
    <row r="21" spans="1:7" ht="12.75">
      <c r="A21" s="54">
        <f t="shared" si="3"/>
        <v>1973</v>
      </c>
      <c r="B21" s="56">
        <v>0.0674</v>
      </c>
      <c r="C21" s="56">
        <v>0.08941179999999999</v>
      </c>
      <c r="D21" s="56">
        <v>0.041742999999999995</v>
      </c>
      <c r="E21" s="56">
        <f t="shared" si="1"/>
        <v>0.1311548</v>
      </c>
      <c r="F21" s="56">
        <f t="shared" si="2"/>
        <v>-0.06375479999999999</v>
      </c>
      <c r="G21" s="56">
        <f t="shared" si="0"/>
        <v>0.10778281999999999</v>
      </c>
    </row>
    <row r="22" spans="1:7" ht="12.75">
      <c r="A22" s="54">
        <f t="shared" si="3"/>
        <v>1974</v>
      </c>
      <c r="B22" s="56">
        <v>0.07429999999999999</v>
      </c>
      <c r="C22" s="56">
        <v>0.1209503</v>
      </c>
      <c r="D22" s="56">
        <v>-0.019924</v>
      </c>
      <c r="E22" s="56">
        <f t="shared" si="1"/>
        <v>0.1010263</v>
      </c>
      <c r="F22" s="56">
        <f t="shared" si="2"/>
        <v>-0.02672630000000001</v>
      </c>
      <c r="G22" s="56">
        <f t="shared" si="0"/>
        <v>0.11294081999999998</v>
      </c>
    </row>
    <row r="23" spans="1:7" ht="12.75">
      <c r="A23" s="54">
        <f t="shared" si="3"/>
        <v>1975</v>
      </c>
      <c r="B23" s="56">
        <v>0.08</v>
      </c>
      <c r="C23" s="56">
        <v>0.07129089999999999</v>
      </c>
      <c r="D23" s="56">
        <v>0.0253804</v>
      </c>
      <c r="E23" s="56">
        <f t="shared" si="1"/>
        <v>0.09667129999999999</v>
      </c>
      <c r="F23" s="56">
        <f t="shared" si="2"/>
        <v>-0.016671299999999986</v>
      </c>
      <c r="G23" s="56">
        <f t="shared" si="0"/>
        <v>0.12176435999999999</v>
      </c>
    </row>
    <row r="24" spans="1:7" ht="12.75">
      <c r="A24" s="54">
        <f t="shared" si="3"/>
        <v>1976</v>
      </c>
      <c r="B24" s="56">
        <v>0.0687</v>
      </c>
      <c r="C24" s="56">
        <v>0.0503597</v>
      </c>
      <c r="D24" s="56">
        <v>0.0429896</v>
      </c>
      <c r="E24" s="56">
        <f t="shared" si="1"/>
        <v>0.0933493</v>
      </c>
      <c r="F24" s="56">
        <f t="shared" si="2"/>
        <v>-0.0246493</v>
      </c>
      <c r="G24" s="56">
        <f t="shared" si="0"/>
        <v>0.1269302</v>
      </c>
    </row>
    <row r="25" spans="1:7" ht="12.75">
      <c r="A25" s="54">
        <f t="shared" si="3"/>
        <v>1977</v>
      </c>
      <c r="B25" s="56">
        <v>0.07690000000000001</v>
      </c>
      <c r="C25" s="56">
        <v>0.0667808</v>
      </c>
      <c r="D25" s="56">
        <v>0.04993159999999999</v>
      </c>
      <c r="E25" s="56">
        <f t="shared" si="1"/>
        <v>0.1167124</v>
      </c>
      <c r="F25" s="56">
        <f t="shared" si="2"/>
        <v>-0.039812399999999984</v>
      </c>
      <c r="G25" s="56">
        <f t="shared" si="0"/>
        <v>0.12852046</v>
      </c>
    </row>
    <row r="26" spans="1:7" ht="12.75">
      <c r="A26" s="54">
        <f t="shared" si="3"/>
        <v>1978</v>
      </c>
      <c r="B26" s="56">
        <v>0.0901</v>
      </c>
      <c r="C26" s="56">
        <v>0.0898876</v>
      </c>
      <c r="D26" s="56">
        <v>0.0670572</v>
      </c>
      <c r="E26" s="56">
        <f t="shared" si="1"/>
        <v>0.1569448</v>
      </c>
      <c r="F26" s="56">
        <f t="shared" si="2"/>
        <v>-0.0668448</v>
      </c>
      <c r="G26" s="56">
        <f t="shared" si="0"/>
        <v>0.11000590000000002</v>
      </c>
    </row>
    <row r="27" spans="1:7" ht="12.75">
      <c r="A27" s="54">
        <f t="shared" si="3"/>
        <v>1979</v>
      </c>
      <c r="B27" s="56">
        <v>0.1039</v>
      </c>
      <c r="C27" s="56">
        <v>0.1325479</v>
      </c>
      <c r="D27" s="56">
        <v>0.012596099999999999</v>
      </c>
      <c r="E27" s="56">
        <f t="shared" si="1"/>
        <v>0.145144</v>
      </c>
      <c r="F27" s="56">
        <f t="shared" si="2"/>
        <v>-0.04124399999999999</v>
      </c>
      <c r="G27" s="56">
        <f t="shared" si="0"/>
        <v>0.10167699999999999</v>
      </c>
    </row>
    <row r="28" spans="1:7" ht="12.75">
      <c r="A28" s="54">
        <f t="shared" si="3"/>
        <v>1980</v>
      </c>
      <c r="B28" s="56">
        <v>0.1284</v>
      </c>
      <c r="C28" s="56">
        <v>0.1235371</v>
      </c>
      <c r="D28" s="56">
        <v>-0.0010366</v>
      </c>
      <c r="E28" s="56">
        <f t="shared" si="1"/>
        <v>0.1225005</v>
      </c>
      <c r="F28" s="56">
        <f t="shared" si="2"/>
        <v>0.005899499999999988</v>
      </c>
      <c r="G28" s="56">
        <f t="shared" si="0"/>
        <v>0.09185488</v>
      </c>
    </row>
    <row r="29" spans="1:7" ht="12.75">
      <c r="A29" s="54">
        <f t="shared" si="3"/>
        <v>1981</v>
      </c>
      <c r="B29" s="56">
        <v>0.13720000000000002</v>
      </c>
      <c r="C29" s="56">
        <v>0.08912039999999999</v>
      </c>
      <c r="D29" s="56">
        <v>0.0121802</v>
      </c>
      <c r="E29" s="56">
        <f t="shared" si="1"/>
        <v>0.10130059999999999</v>
      </c>
      <c r="F29" s="56">
        <f t="shared" si="2"/>
        <v>0.035899400000000026</v>
      </c>
      <c r="G29" s="56">
        <f t="shared" si="0"/>
        <v>0.08328354</v>
      </c>
    </row>
    <row r="30" spans="1:7" ht="12.75">
      <c r="A30" s="54">
        <f t="shared" si="3"/>
        <v>1982</v>
      </c>
      <c r="B30" s="56">
        <v>0.1054</v>
      </c>
      <c r="C30" s="56">
        <v>0.0382572</v>
      </c>
      <c r="D30" s="56">
        <v>-0.0141176</v>
      </c>
      <c r="E30" s="56">
        <f t="shared" si="1"/>
        <v>0.024139599999999997</v>
      </c>
      <c r="F30" s="56">
        <f t="shared" si="2"/>
        <v>0.0812604</v>
      </c>
      <c r="G30" s="56">
        <f t="shared" si="0"/>
        <v>0.07107553999999999</v>
      </c>
    </row>
    <row r="31" spans="1:7" ht="12.75">
      <c r="A31" s="54">
        <f t="shared" si="3"/>
        <v>1983</v>
      </c>
      <c r="B31" s="56">
        <v>0.1183</v>
      </c>
      <c r="C31" s="56">
        <v>0.037871</v>
      </c>
      <c r="D31" s="56">
        <v>0.0774293</v>
      </c>
      <c r="E31" s="56">
        <f t="shared" si="1"/>
        <v>0.11530030000000001</v>
      </c>
      <c r="F31" s="56">
        <f t="shared" si="2"/>
        <v>0.002999699999999994</v>
      </c>
      <c r="G31" s="56">
        <f t="shared" si="0"/>
        <v>0.08342978</v>
      </c>
    </row>
    <row r="32" spans="1:7" ht="12.75">
      <c r="A32" s="54">
        <f t="shared" si="3"/>
        <v>1984</v>
      </c>
      <c r="B32" s="56">
        <v>0.115</v>
      </c>
      <c r="C32" s="56">
        <v>0.040433899999999995</v>
      </c>
      <c r="D32" s="56">
        <v>0.055599499999999996</v>
      </c>
      <c r="E32" s="56">
        <f t="shared" si="1"/>
        <v>0.09603339999999999</v>
      </c>
      <c r="F32" s="56">
        <f t="shared" si="2"/>
        <v>0.018966600000000014</v>
      </c>
      <c r="G32" s="56">
        <f t="shared" si="0"/>
        <v>0.07659289999999999</v>
      </c>
    </row>
    <row r="33" spans="1:7" ht="12.75">
      <c r="A33" s="54">
        <f t="shared" si="3"/>
        <v>1985</v>
      </c>
      <c r="B33" s="56">
        <v>0.0926</v>
      </c>
      <c r="C33" s="56">
        <v>0.037914699999999996</v>
      </c>
      <c r="D33" s="56">
        <v>0.0417291</v>
      </c>
      <c r="E33" s="56">
        <f t="shared" si="1"/>
        <v>0.07964379999999999</v>
      </c>
      <c r="F33" s="56">
        <f t="shared" si="2"/>
        <v>0.012956200000000015</v>
      </c>
      <c r="G33" s="56">
        <f t="shared" si="0"/>
        <v>0.07211356</v>
      </c>
    </row>
    <row r="34" spans="1:7" ht="12.75">
      <c r="A34" s="54">
        <f t="shared" si="3"/>
        <v>1986</v>
      </c>
      <c r="B34" s="56">
        <v>0.0711</v>
      </c>
      <c r="C34" s="56">
        <v>0.011872100000000002</v>
      </c>
      <c r="D34" s="56">
        <v>0.028388499999999997</v>
      </c>
      <c r="E34" s="56">
        <f t="shared" si="1"/>
        <v>0.0402606</v>
      </c>
      <c r="F34" s="56">
        <f t="shared" si="2"/>
        <v>0.030839399999999996</v>
      </c>
      <c r="G34" s="56">
        <f aca="true" t="shared" si="4" ref="G34:G55">AVERAGE(E34:E38)</f>
        <v>0.06980581999999999</v>
      </c>
    </row>
    <row r="35" spans="1:7" ht="12.75">
      <c r="A35" s="54">
        <f t="shared" si="3"/>
        <v>1987</v>
      </c>
      <c r="B35" s="56">
        <v>0.08990000000000001</v>
      </c>
      <c r="C35" s="56">
        <v>0.0433213</v>
      </c>
      <c r="D35" s="56">
        <v>0.042589499999999995</v>
      </c>
      <c r="E35" s="56">
        <f t="shared" si="1"/>
        <v>0.0859108</v>
      </c>
      <c r="F35" s="56">
        <f t="shared" si="2"/>
        <v>0.003989200000000012</v>
      </c>
      <c r="G35" s="56">
        <f t="shared" si="4"/>
        <v>0.06972448</v>
      </c>
    </row>
    <row r="36" spans="1:7" ht="12.75">
      <c r="A36" s="54">
        <f t="shared" si="3"/>
        <v>1988</v>
      </c>
      <c r="B36" s="56">
        <v>0.0911</v>
      </c>
      <c r="C36" s="56">
        <v>0.0441176</v>
      </c>
      <c r="D36" s="56">
        <v>0.0369983</v>
      </c>
      <c r="E36" s="56">
        <f t="shared" si="1"/>
        <v>0.08111589999999999</v>
      </c>
      <c r="F36" s="56">
        <f t="shared" si="2"/>
        <v>0.00998410000000001</v>
      </c>
      <c r="G36" s="56">
        <f t="shared" si="4"/>
        <v>0.0670987</v>
      </c>
    </row>
    <row r="37" spans="1:7" ht="12.75">
      <c r="A37" s="54">
        <f t="shared" si="3"/>
        <v>1989</v>
      </c>
      <c r="B37" s="56">
        <v>0.0784</v>
      </c>
      <c r="C37" s="56">
        <v>0.046396</v>
      </c>
      <c r="D37" s="56">
        <v>0.027240700000000003</v>
      </c>
      <c r="E37" s="56">
        <f t="shared" si="1"/>
        <v>0.0736367</v>
      </c>
      <c r="F37" s="56">
        <f t="shared" si="2"/>
        <v>0.004763299999999998</v>
      </c>
      <c r="G37" s="56">
        <f t="shared" si="4"/>
        <v>0.061886399999999994</v>
      </c>
    </row>
    <row r="38" spans="1:7" ht="12.75">
      <c r="A38" s="54">
        <f t="shared" si="3"/>
        <v>1990</v>
      </c>
      <c r="B38" s="56">
        <v>0.0808</v>
      </c>
      <c r="C38" s="56">
        <v>0.0625495</v>
      </c>
      <c r="D38" s="56">
        <v>0.005555600000000001</v>
      </c>
      <c r="E38" s="56">
        <f t="shared" si="1"/>
        <v>0.0681051</v>
      </c>
      <c r="F38" s="56">
        <f t="shared" si="2"/>
        <v>0.012694899999999995</v>
      </c>
      <c r="G38" s="56">
        <f t="shared" si="4"/>
        <v>0.06066982</v>
      </c>
    </row>
    <row r="39" spans="1:7" ht="12.75">
      <c r="A39" s="54">
        <f t="shared" si="3"/>
        <v>1991</v>
      </c>
      <c r="B39" s="56">
        <v>0.0709</v>
      </c>
      <c r="C39" s="56">
        <v>0.0298063</v>
      </c>
      <c r="D39" s="56">
        <v>0.0100476</v>
      </c>
      <c r="E39" s="56">
        <f t="shared" si="1"/>
        <v>0.0398539</v>
      </c>
      <c r="F39" s="56">
        <f t="shared" si="2"/>
        <v>0.031046100000000007</v>
      </c>
      <c r="G39" s="56">
        <f t="shared" si="4"/>
        <v>0.056134119999999996</v>
      </c>
    </row>
    <row r="40" spans="1:7" ht="12.75">
      <c r="A40" s="54">
        <f t="shared" si="3"/>
        <v>1992</v>
      </c>
      <c r="B40" s="56">
        <v>0.0677</v>
      </c>
      <c r="C40" s="56">
        <v>0.0296671</v>
      </c>
      <c r="D40" s="56">
        <v>0.0431148</v>
      </c>
      <c r="E40" s="56">
        <f t="shared" si="1"/>
        <v>0.0727819</v>
      </c>
      <c r="F40" s="56">
        <f t="shared" si="2"/>
        <v>-0.0050819</v>
      </c>
      <c r="G40" s="56">
        <f t="shared" si="4"/>
        <v>0.06381118</v>
      </c>
    </row>
    <row r="41" spans="1:7" ht="12.75">
      <c r="A41" s="54">
        <f t="shared" si="3"/>
        <v>1993</v>
      </c>
      <c r="B41" s="56">
        <v>0.057699999999999994</v>
      </c>
      <c r="C41" s="56">
        <v>0.028109600000000002</v>
      </c>
      <c r="D41" s="56">
        <v>0.0269448</v>
      </c>
      <c r="E41" s="56">
        <f t="shared" si="1"/>
        <v>0.0550544</v>
      </c>
      <c r="F41" s="56">
        <f t="shared" si="2"/>
        <v>0.002645599999999991</v>
      </c>
      <c r="G41" s="56">
        <f t="shared" si="4"/>
        <v>0.06132976</v>
      </c>
    </row>
    <row r="42" spans="1:7" ht="12.75">
      <c r="A42" s="54">
        <f t="shared" si="3"/>
        <v>1994</v>
      </c>
      <c r="B42" s="56">
        <v>0.0781</v>
      </c>
      <c r="C42" s="56">
        <v>0.025974</v>
      </c>
      <c r="D42" s="56">
        <v>0.0415798</v>
      </c>
      <c r="E42" s="56">
        <f t="shared" si="1"/>
        <v>0.0675538</v>
      </c>
      <c r="F42" s="56">
        <f t="shared" si="2"/>
        <v>0.010546200000000006</v>
      </c>
      <c r="G42" s="56">
        <f t="shared" si="4"/>
        <v>0.06349842</v>
      </c>
    </row>
    <row r="43" spans="1:7" ht="12.75">
      <c r="A43" s="54">
        <f t="shared" si="3"/>
        <v>1995</v>
      </c>
      <c r="B43" s="56">
        <v>0.0571</v>
      </c>
      <c r="C43" s="56">
        <v>0.0253165</v>
      </c>
      <c r="D43" s="56">
        <v>0.020110100000000002</v>
      </c>
      <c r="E43" s="56">
        <f t="shared" si="1"/>
        <v>0.0454266</v>
      </c>
      <c r="F43" s="56">
        <f t="shared" si="2"/>
        <v>0.0116734</v>
      </c>
      <c r="G43" s="56">
        <f t="shared" si="4"/>
        <v>0.06498366</v>
      </c>
    </row>
    <row r="44" spans="1:7" ht="12.75">
      <c r="A44" s="54">
        <f t="shared" si="3"/>
        <v>1996</v>
      </c>
      <c r="B44" s="56">
        <v>0.063</v>
      </c>
      <c r="C44" s="56">
        <v>0.033788200000000004</v>
      </c>
      <c r="D44" s="56">
        <v>0.044451</v>
      </c>
      <c r="E44" s="56">
        <f t="shared" si="1"/>
        <v>0.07823920000000001</v>
      </c>
      <c r="F44" s="56">
        <f t="shared" si="2"/>
        <v>-0.015239200000000008</v>
      </c>
      <c r="G44" s="56">
        <f t="shared" si="4"/>
        <v>0.06858966</v>
      </c>
    </row>
    <row r="45" spans="1:7" ht="12.75">
      <c r="A45" s="54">
        <f t="shared" si="3"/>
        <v>1997</v>
      </c>
      <c r="B45" s="56">
        <v>0.0581</v>
      </c>
      <c r="C45" s="56">
        <v>0.0169705</v>
      </c>
      <c r="D45" s="56">
        <v>0.04340429999999999</v>
      </c>
      <c r="E45" s="56">
        <f t="shared" si="1"/>
        <v>0.06037479999999999</v>
      </c>
      <c r="F45" s="56">
        <f t="shared" si="2"/>
        <v>-0.0022747999999999935</v>
      </c>
      <c r="G45" s="56">
        <f t="shared" si="4"/>
        <v>0.05694386</v>
      </c>
    </row>
    <row r="46" spans="1:7" ht="12.75">
      <c r="A46" s="54">
        <f t="shared" si="3"/>
        <v>1998</v>
      </c>
      <c r="B46" s="56">
        <v>0.04650000000000001</v>
      </c>
      <c r="C46" s="56">
        <v>0.0160692</v>
      </c>
      <c r="D46" s="56">
        <v>0.0498285</v>
      </c>
      <c r="E46" s="56">
        <f t="shared" si="1"/>
        <v>0.0658977</v>
      </c>
      <c r="F46" s="56">
        <f t="shared" si="2"/>
        <v>-0.019397699999999997</v>
      </c>
      <c r="G46" s="56">
        <f t="shared" si="4"/>
        <v>0.05370982</v>
      </c>
    </row>
    <row r="47" spans="1:7" ht="12.75">
      <c r="A47" s="54">
        <f t="shared" si="3"/>
        <v>1999</v>
      </c>
      <c r="B47" s="56">
        <v>0.06280000000000001</v>
      </c>
      <c r="C47" s="56">
        <v>0.026764</v>
      </c>
      <c r="D47" s="56">
        <v>0.048216</v>
      </c>
      <c r="E47" s="56">
        <f t="shared" si="1"/>
        <v>0.07498</v>
      </c>
      <c r="F47" s="56">
        <f t="shared" si="2"/>
        <v>-0.012179999999999996</v>
      </c>
      <c r="G47" s="56">
        <f t="shared" si="4"/>
        <v>0.05233108000000001</v>
      </c>
    </row>
    <row r="48" spans="1:7" ht="12.75">
      <c r="A48" s="54">
        <f t="shared" si="3"/>
        <v>2000</v>
      </c>
      <c r="B48" s="56">
        <v>0.0524</v>
      </c>
      <c r="C48" s="56">
        <v>0.0343602</v>
      </c>
      <c r="D48" s="56">
        <v>0.0290964</v>
      </c>
      <c r="E48" s="56">
        <f t="shared" si="1"/>
        <v>0.0634566</v>
      </c>
      <c r="F48" s="56">
        <f t="shared" si="2"/>
        <v>-0.0110566</v>
      </c>
      <c r="G48" s="56">
        <f t="shared" si="4"/>
        <v>0.0498111</v>
      </c>
    </row>
    <row r="49" spans="1:7" ht="12.75">
      <c r="A49" s="54">
        <f t="shared" si="3"/>
        <v>2001</v>
      </c>
      <c r="B49" s="56">
        <v>0.0509</v>
      </c>
      <c r="C49" s="56">
        <v>0.0160367</v>
      </c>
      <c r="D49" s="56">
        <v>0.0039735</v>
      </c>
      <c r="E49" s="56">
        <f t="shared" si="1"/>
        <v>0.0200102</v>
      </c>
      <c r="F49" s="56">
        <f t="shared" si="2"/>
        <v>0.030889800000000002</v>
      </c>
      <c r="G49" s="56">
        <f t="shared" si="4"/>
        <v>0.049422039999999993</v>
      </c>
    </row>
    <row r="50" spans="1:7" ht="12.75">
      <c r="A50" s="54">
        <f t="shared" si="3"/>
        <v>2002</v>
      </c>
      <c r="B50" s="56">
        <v>0.0403</v>
      </c>
      <c r="C50" s="56">
        <v>0.0248027</v>
      </c>
      <c r="D50" s="56">
        <v>0.0194019</v>
      </c>
      <c r="E50" s="56">
        <f t="shared" si="1"/>
        <v>0.0442046</v>
      </c>
      <c r="F50" s="56">
        <f t="shared" si="2"/>
        <v>-0.003904599999999994</v>
      </c>
      <c r="G50" s="56">
        <f t="shared" si="4"/>
        <v>0.055223140000000004</v>
      </c>
    </row>
    <row r="51" spans="1:7" ht="12.75">
      <c r="A51" s="54">
        <f t="shared" si="3"/>
        <v>2003</v>
      </c>
      <c r="B51" s="56">
        <v>0.042699999999999995</v>
      </c>
      <c r="C51" s="56">
        <v>0.020352000000000002</v>
      </c>
      <c r="D51" s="56">
        <v>0.038652</v>
      </c>
      <c r="E51" s="56">
        <f t="shared" si="1"/>
        <v>0.059004</v>
      </c>
      <c r="F51" s="56">
        <f t="shared" si="2"/>
        <v>-0.016304000000000006</v>
      </c>
      <c r="G51" s="56">
        <f t="shared" si="4"/>
        <v>0.059011419999999995</v>
      </c>
    </row>
    <row r="52" spans="1:7" ht="12.75">
      <c r="A52" s="54">
        <f t="shared" si="3"/>
        <v>2004</v>
      </c>
      <c r="B52" s="56">
        <v>0.042300000000000004</v>
      </c>
      <c r="C52" s="56">
        <v>0.0334232</v>
      </c>
      <c r="D52" s="56">
        <v>0.0289569</v>
      </c>
      <c r="E52" s="56">
        <f t="shared" si="1"/>
        <v>0.0623801</v>
      </c>
      <c r="F52" s="56">
        <f t="shared" si="2"/>
        <v>-0.020080099999999997</v>
      </c>
      <c r="G52" s="56">
        <f t="shared" si="4"/>
        <v>0.040525</v>
      </c>
    </row>
    <row r="53" spans="1:7" ht="12.75">
      <c r="A53" s="54">
        <f t="shared" si="3"/>
        <v>2005</v>
      </c>
      <c r="B53" s="56">
        <v>0.0447</v>
      </c>
      <c r="C53" s="56">
        <v>0.0333855</v>
      </c>
      <c r="D53" s="56">
        <v>0.0281258</v>
      </c>
      <c r="E53" s="56">
        <f t="shared" si="1"/>
        <v>0.0615113</v>
      </c>
      <c r="F53" s="56">
        <f t="shared" si="2"/>
        <v>-0.0168113</v>
      </c>
      <c r="G53" s="56">
        <f t="shared" si="4"/>
        <v>0.033532820000000005</v>
      </c>
    </row>
    <row r="54" spans="1:7" ht="12.75">
      <c r="A54" s="54">
        <f t="shared" si="3"/>
        <v>2006</v>
      </c>
      <c r="B54" s="56">
        <v>0.045599999999999995</v>
      </c>
      <c r="C54" s="56">
        <v>0.0252398</v>
      </c>
      <c r="D54" s="56">
        <v>0.023775900000000003</v>
      </c>
      <c r="E54" s="56">
        <f t="shared" si="1"/>
        <v>0.0490157</v>
      </c>
      <c r="F54" s="56">
        <f t="shared" si="2"/>
        <v>-0.0034157000000000076</v>
      </c>
      <c r="G54" s="56">
        <f t="shared" si="4"/>
        <v>0.028872379999999996</v>
      </c>
    </row>
    <row r="55" spans="1:7" ht="12.75">
      <c r="A55" s="54">
        <f t="shared" si="3"/>
        <v>2007</v>
      </c>
      <c r="B55" s="56">
        <v>0.040999999999999995</v>
      </c>
      <c r="C55" s="56">
        <v>0.0410881</v>
      </c>
      <c r="D55" s="56">
        <v>0.0220579</v>
      </c>
      <c r="E55" s="56">
        <f t="shared" si="1"/>
        <v>0.06314600000000001</v>
      </c>
      <c r="F55" s="56">
        <f t="shared" si="2"/>
        <v>-0.022146000000000013</v>
      </c>
      <c r="G55" s="56">
        <f t="shared" si="4"/>
        <v>0.02906108</v>
      </c>
    </row>
    <row r="56" spans="1:6" ht="12.75">
      <c r="A56" s="54">
        <f t="shared" si="3"/>
        <v>2008</v>
      </c>
      <c r="B56" s="56">
        <v>0.0242</v>
      </c>
      <c r="C56" s="56">
        <v>-0.0002223</v>
      </c>
      <c r="D56" s="56">
        <v>-0.0332058</v>
      </c>
      <c r="E56" s="56">
        <f t="shared" si="1"/>
        <v>-0.0334281</v>
      </c>
      <c r="F56" s="56">
        <f t="shared" si="2"/>
        <v>0.0576281</v>
      </c>
    </row>
    <row r="57" spans="1:6" ht="12.75">
      <c r="A57" s="54">
        <f t="shared" si="3"/>
        <v>2009</v>
      </c>
      <c r="B57" s="56">
        <v>0.0359</v>
      </c>
      <c r="C57" s="56">
        <v>0.0282264</v>
      </c>
      <c r="D57" s="56">
        <v>-0.0008072</v>
      </c>
      <c r="E57" s="56">
        <f t="shared" si="1"/>
        <v>0.027419199999999998</v>
      </c>
      <c r="F57" s="56">
        <f t="shared" si="2"/>
        <v>0.008480800000000004</v>
      </c>
    </row>
    <row r="58" spans="1:6" ht="12.75">
      <c r="A58" s="54">
        <f t="shared" si="3"/>
        <v>2010</v>
      </c>
      <c r="B58" s="56">
        <v>0.0329</v>
      </c>
      <c r="C58" s="56">
        <v>0.014275500000000002</v>
      </c>
      <c r="D58" s="56">
        <v>0.0239336</v>
      </c>
      <c r="E58" s="56">
        <f t="shared" si="1"/>
        <v>0.0382091</v>
      </c>
      <c r="F58" s="56">
        <f t="shared" si="2"/>
        <v>-0.005309100000000004</v>
      </c>
    </row>
    <row r="59" spans="1:6" ht="12.75">
      <c r="A59" s="54">
        <f t="shared" si="3"/>
        <v>2011</v>
      </c>
      <c r="B59" s="56">
        <v>0.019799999999999998</v>
      </c>
      <c r="C59" s="56">
        <v>0.0302493</v>
      </c>
      <c r="D59" s="56">
        <v>0.0197099</v>
      </c>
      <c r="E59" s="56">
        <f t="shared" si="1"/>
        <v>0.049959199999999995</v>
      </c>
      <c r="F59" s="56">
        <f t="shared" si="2"/>
        <v>-0.030159199999999997</v>
      </c>
    </row>
    <row r="60" spans="1:6" ht="12.75">
      <c r="A60" s="54">
        <f t="shared" si="3"/>
        <v>2012</v>
      </c>
      <c r="B60" s="56">
        <v>0.0172</v>
      </c>
      <c r="C60" s="56">
        <v>0.0176105</v>
      </c>
      <c r="D60" s="56">
        <v>0.0166952</v>
      </c>
      <c r="E60" s="56">
        <f t="shared" si="1"/>
        <v>0.0343057</v>
      </c>
      <c r="F60" s="56">
        <f t="shared" si="2"/>
        <v>-0.0171057</v>
      </c>
    </row>
    <row r="61" spans="1:7" ht="12.75">
      <c r="A61" s="57" t="s">
        <v>98</v>
      </c>
      <c r="B61" s="17">
        <v>0.0611084745762712</v>
      </c>
      <c r="C61" s="17">
        <v>0.0375342593220339</v>
      </c>
      <c r="D61" s="17">
        <v>0.030815452542372886</v>
      </c>
      <c r="E61" s="17">
        <f>AVERAGE(E2:E60)</f>
        <v>0.06834971186440678</v>
      </c>
      <c r="F61" s="17">
        <f>AVERAGE(F2:F60)</f>
        <v>-0.007241237288135589</v>
      </c>
      <c r="G61" s="17"/>
    </row>
    <row r="62" spans="1:7" ht="12.75">
      <c r="A62" s="57" t="s">
        <v>99</v>
      </c>
      <c r="B62" s="17">
        <v>0.0582888888888889</v>
      </c>
      <c r="C62" s="17">
        <v>0.04486572592592592</v>
      </c>
      <c r="D62" s="17">
        <v>0.03542428518518517</v>
      </c>
      <c r="E62" s="17">
        <f>AVERAGE(E2:E28)</f>
        <v>0.0802900111111111</v>
      </c>
      <c r="F62" s="17">
        <f>AVERAGE(F2:F28)</f>
        <v>-0.022001122222222218</v>
      </c>
      <c r="G62" s="17"/>
    </row>
    <row r="63" spans="1:6" ht="12.75">
      <c r="A63" s="57" t="s">
        <v>100</v>
      </c>
      <c r="B63" s="17">
        <v>0.06348749999999999</v>
      </c>
      <c r="C63" s="17">
        <v>0.031348334374999995</v>
      </c>
      <c r="D63" s="17">
        <v>0.026926749999999992</v>
      </c>
      <c r="E63" s="17">
        <f>AVERAGE(E29:E60)</f>
        <v>0.058275084375</v>
      </c>
      <c r="F63" s="17">
        <f>AVERAGE(F29:F60)</f>
        <v>0.005212415625000001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1"/>
  <sheetViews>
    <sheetView workbookViewId="0" topLeftCell="A1">
      <selection activeCell="B11" sqref="B11"/>
    </sheetView>
  </sheetViews>
  <sheetFormatPr defaultColWidth="11.00390625" defaultRowHeight="12.75"/>
  <cols>
    <col min="3" max="3" width="13.00390625" style="0" bestFit="1" customWidth="1"/>
    <col min="4" max="4" width="10.875" style="0" bestFit="1" customWidth="1"/>
    <col min="6" max="6" width="10.875" style="0" bestFit="1" customWidth="1"/>
    <col min="10" max="10" width="11.125" style="0" bestFit="1" customWidth="1"/>
    <col min="11" max="11" width="14.00390625" style="0" bestFit="1" customWidth="1"/>
  </cols>
  <sheetData>
    <row r="1" ht="12.75">
      <c r="A1" s="122" t="s">
        <v>148</v>
      </c>
    </row>
    <row r="2" spans="3:17" ht="12.75">
      <c r="C2" s="124" t="s">
        <v>141</v>
      </c>
      <c r="D2" s="124"/>
      <c r="E2" s="124"/>
      <c r="F2" s="124"/>
      <c r="G2" s="124"/>
      <c r="H2" s="124"/>
      <c r="I2" s="124"/>
      <c r="K2" s="124" t="s">
        <v>143</v>
      </c>
      <c r="L2" s="124"/>
      <c r="M2" s="124"/>
      <c r="N2" s="124"/>
      <c r="O2" s="124"/>
      <c r="P2" s="124"/>
      <c r="Q2" s="124"/>
    </row>
    <row r="3" spans="1:21" ht="12.75">
      <c r="A3" t="s">
        <v>131</v>
      </c>
      <c r="B3" t="s">
        <v>136</v>
      </c>
      <c r="C3" t="s">
        <v>30</v>
      </c>
      <c r="D3" t="s">
        <v>16</v>
      </c>
      <c r="E3" t="s">
        <v>17</v>
      </c>
      <c r="F3" t="s">
        <v>137</v>
      </c>
      <c r="G3" t="s">
        <v>140</v>
      </c>
      <c r="H3" t="s">
        <v>138</v>
      </c>
      <c r="I3" t="s">
        <v>139</v>
      </c>
      <c r="J3" t="s">
        <v>142</v>
      </c>
      <c r="K3" t="s">
        <v>30</v>
      </c>
      <c r="L3" t="s">
        <v>16</v>
      </c>
      <c r="M3" t="s">
        <v>17</v>
      </c>
      <c r="N3" t="s">
        <v>137</v>
      </c>
      <c r="O3" t="s">
        <v>140</v>
      </c>
      <c r="P3" t="s">
        <v>138</v>
      </c>
      <c r="Q3" t="s">
        <v>139</v>
      </c>
      <c r="R3" t="s">
        <v>144</v>
      </c>
      <c r="S3" t="s">
        <v>4</v>
      </c>
      <c r="T3" t="s">
        <v>145</v>
      </c>
      <c r="U3" t="s">
        <v>146</v>
      </c>
    </row>
    <row r="4" spans="1:21" ht="12.75">
      <c r="A4" s="46">
        <v>40755</v>
      </c>
      <c r="B4">
        <v>2103.84</v>
      </c>
      <c r="C4" s="121">
        <v>19712475</v>
      </c>
      <c r="D4">
        <f>261181+2627</f>
        <v>263808</v>
      </c>
      <c r="E4">
        <v>423600</v>
      </c>
      <c r="F4">
        <v>75426</v>
      </c>
      <c r="G4">
        <v>923972</v>
      </c>
      <c r="H4" s="117">
        <f>D4+E4</f>
        <v>687408</v>
      </c>
      <c r="I4" s="117">
        <f>D4+E4-F4</f>
        <v>611982</v>
      </c>
      <c r="J4" s="119">
        <f>B4/C4</f>
        <v>0.00010672632432000548</v>
      </c>
      <c r="K4" s="118">
        <f aca="true" t="shared" si="0" ref="K4:Q4">$J4*C4</f>
        <v>2103.84</v>
      </c>
      <c r="L4" s="116">
        <f t="shared" si="0"/>
        <v>28.155258166212008</v>
      </c>
      <c r="M4" s="116">
        <f t="shared" si="0"/>
        <v>45.209270981954326</v>
      </c>
      <c r="N4" s="116">
        <f t="shared" si="0"/>
        <v>8.049939738160734</v>
      </c>
      <c r="O4" s="116">
        <f t="shared" si="0"/>
        <v>98.6121353346041</v>
      </c>
      <c r="P4" s="116">
        <f t="shared" si="0"/>
        <v>73.36452914816633</v>
      </c>
      <c r="Q4" s="116">
        <f t="shared" si="0"/>
        <v>65.3145894100056</v>
      </c>
      <c r="R4" s="26">
        <f>L4/O4</f>
        <v>0.285515145480599</v>
      </c>
      <c r="S4" s="26">
        <f>L4/K4</f>
        <v>0.013382794397963726</v>
      </c>
      <c r="T4" s="26">
        <f>P4/O4</f>
        <v>0.7439705965115826</v>
      </c>
      <c r="U4" s="26">
        <f>Q4/O4</f>
        <v>0.6623382526743234</v>
      </c>
    </row>
    <row r="11" ht="12.75">
      <c r="B11" s="17"/>
    </row>
  </sheetData>
  <sheetProtection/>
  <mergeCells count="2">
    <mergeCell ref="C2:I2"/>
    <mergeCell ref="K2:Q2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Aswath Damodaran</cp:lastModifiedBy>
  <cp:lastPrinted>2011-09-21T14:04:20Z</cp:lastPrinted>
  <dcterms:created xsi:type="dcterms:W3CDTF">2005-01-04T16:33:33Z</dcterms:created>
  <dcterms:modified xsi:type="dcterms:W3CDTF">2015-09-04T11:20:23Z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